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Default Extension="vml" ContentType="application/vnd.openxmlformats-officedocument.vmlDrawing"/>
  <Override PartName="/xl/drawings/drawing5.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1411" yWindow="300" windowWidth="24915" windowHeight="12075" tabRatio="747" activeTab="5"/>
  </bookViews>
  <sheets>
    <sheet name="Permit Truck Totals" sheetId="1" r:id="rId1"/>
    <sheet name="VMT Multipliers" sheetId="2" r:id="rId2"/>
    <sheet name="Monetary Assumptions" sheetId="3" r:id="rId3"/>
    <sheet name="VMT Bridge BCA" sheetId="4" r:id="rId4"/>
    <sheet name="Bridge State of Good Repair" sheetId="5" r:id="rId5"/>
    <sheet name="Keith State of Good Repair" sheetId="6" r:id="rId6"/>
    <sheet name="VMT Holabird BCA" sheetId="7" r:id="rId7"/>
    <sheet name="Complete Streets Bio Retention" sheetId="8" r:id="rId8"/>
    <sheet name="VMT Total BCA" sheetId="9" r:id="rId9"/>
    <sheet name="Table1" sheetId="10" r:id="rId10"/>
    <sheet name="Table 2" sheetId="11" r:id="rId11"/>
    <sheet name="Table 3" sheetId="12" r:id="rId12"/>
  </sheets>
  <definedNames>
    <definedName name="_xlnm.Print_Area" localSheetId="2">'Monetary Assumptions'!$B$4:$E$30</definedName>
    <definedName name="_xlnm.Print_Area" localSheetId="10">'Table 2'!$B$2:$E$29</definedName>
    <definedName name="_xlnm.Print_Area" localSheetId="9">'Table1'!$B$3:$H$16</definedName>
  </definedNames>
  <calcPr fullCalcOnLoad="1"/>
</workbook>
</file>

<file path=xl/comments8.xml><?xml version="1.0" encoding="utf-8"?>
<comments xmlns="http://schemas.openxmlformats.org/spreadsheetml/2006/main">
  <authors>
    <author>kraftsl</author>
  </authors>
  <commentList>
    <comment ref="A4" authorId="0">
      <text>
        <r>
          <rPr>
            <b/>
            <sz val="9"/>
            <rFont val="Tahoma"/>
            <family val="0"/>
          </rPr>
          <t>kraftsl:</t>
        </r>
        <r>
          <rPr>
            <sz val="9"/>
            <rFont val="Tahoma"/>
            <family val="0"/>
          </rPr>
          <t xml:space="preserve">
Source: http://www.usclimatedata.com/climate/maryland/united-states/1872</t>
        </r>
      </text>
    </comment>
    <comment ref="A8" authorId="0">
      <text>
        <r>
          <rPr>
            <b/>
            <sz val="9"/>
            <rFont val="Tahoma"/>
            <family val="0"/>
          </rPr>
          <t>kraftsl:</t>
        </r>
        <r>
          <rPr>
            <sz val="9"/>
            <rFont val="Tahoma"/>
            <family val="0"/>
          </rPr>
          <t xml:space="preserve">
Source: http://www.epa.gov/caddis/ssr_urb_is1.html</t>
        </r>
      </text>
    </comment>
    <comment ref="B8" authorId="0">
      <text>
        <r>
          <rPr>
            <b/>
            <sz val="9"/>
            <rFont val="Tahoma"/>
            <family val="0"/>
          </rPr>
          <t>kraftsl:</t>
        </r>
        <r>
          <rPr>
            <sz val="9"/>
            <rFont val="Tahoma"/>
            <family val="0"/>
          </rPr>
          <t xml:space="preserve">
Source: http://www.epa.gov/caddis/ssr_urb_is1.html</t>
        </r>
      </text>
    </comment>
    <comment ref="C8" authorId="0">
      <text>
        <r>
          <rPr>
            <b/>
            <sz val="9"/>
            <rFont val="Tahoma"/>
            <family val="0"/>
          </rPr>
          <t>kraftsl:</t>
        </r>
        <r>
          <rPr>
            <sz val="9"/>
            <rFont val="Tahoma"/>
            <family val="0"/>
          </rPr>
          <t xml:space="preserve">
Source: http://www.epa.gov/caddis/ssr_urb_is1.html</t>
        </r>
      </text>
    </comment>
    <comment ref="D8" authorId="0">
      <text>
        <r>
          <rPr>
            <b/>
            <sz val="9"/>
            <rFont val="Tahoma"/>
            <family val="0"/>
          </rPr>
          <t>kraftsl:</t>
        </r>
        <r>
          <rPr>
            <sz val="9"/>
            <rFont val="Tahoma"/>
            <family val="0"/>
          </rPr>
          <t xml:space="preserve">
Source: http://www.epa.gov/caddis/ssr_urb_is1.html</t>
        </r>
      </text>
    </comment>
    <comment ref="A10" authorId="0">
      <text>
        <r>
          <rPr>
            <b/>
            <sz val="9"/>
            <rFont val="Tahoma"/>
            <family val="0"/>
          </rPr>
          <t>kraftsl:</t>
        </r>
        <r>
          <rPr>
            <sz val="9"/>
            <rFont val="Tahoma"/>
            <family val="0"/>
          </rPr>
          <t xml:space="preserve">
Source: http://greenvalues.cnt.org/national/benefits_detail.php</t>
        </r>
      </text>
    </comment>
    <comment ref="A12" authorId="0">
      <text>
        <r>
          <rPr>
            <b/>
            <sz val="9"/>
            <rFont val="Tahoma"/>
            <family val="0"/>
          </rPr>
          <t>kraftsl:</t>
        </r>
        <r>
          <rPr>
            <sz val="9"/>
            <rFont val="Tahoma"/>
            <family val="0"/>
          </rPr>
          <t xml:space="preserve">
Source: http://greenvalues.cnt.org/national/benefits_detail.php</t>
        </r>
      </text>
    </comment>
    <comment ref="A14" authorId="0">
      <text>
        <r>
          <rPr>
            <b/>
            <sz val="9"/>
            <rFont val="Tahoma"/>
            <family val="0"/>
          </rPr>
          <t>kraftsl:</t>
        </r>
        <r>
          <rPr>
            <sz val="9"/>
            <rFont val="Tahoma"/>
            <family val="0"/>
          </rPr>
          <t xml:space="preserve">
Source: http://greenvalues.cnt.org/national/benefits_detail.php</t>
        </r>
      </text>
    </comment>
    <comment ref="A16" authorId="0">
      <text>
        <r>
          <rPr>
            <b/>
            <sz val="9"/>
            <rFont val="Tahoma"/>
            <family val="0"/>
          </rPr>
          <t>kraftsl:</t>
        </r>
        <r>
          <rPr>
            <sz val="9"/>
            <rFont val="Tahoma"/>
            <family val="0"/>
          </rPr>
          <t xml:space="preserve">
Source: http://greenvalues.cnt.org/national/benefits_detail.php</t>
        </r>
      </text>
    </comment>
    <comment ref="B16" authorId="0">
      <text>
        <r>
          <rPr>
            <b/>
            <sz val="9"/>
            <rFont val="Tahoma"/>
            <family val="0"/>
          </rPr>
          <t>kraftsl:</t>
        </r>
        <r>
          <rPr>
            <sz val="9"/>
            <rFont val="Tahoma"/>
            <family val="0"/>
          </rPr>
          <t xml:space="preserve">
Source: http://greenvalues.cnt.org/national/benefits_detail.php</t>
        </r>
      </text>
    </comment>
    <comment ref="C16" authorId="0">
      <text>
        <r>
          <rPr>
            <b/>
            <sz val="9"/>
            <rFont val="Tahoma"/>
            <family val="0"/>
          </rPr>
          <t>kraftsl:</t>
        </r>
        <r>
          <rPr>
            <sz val="9"/>
            <rFont val="Tahoma"/>
            <family val="0"/>
          </rPr>
          <t xml:space="preserve">
2.719 is conversion from mg*ft*acres/L to lb</t>
        </r>
      </text>
    </comment>
    <comment ref="D16" authorId="0">
      <text>
        <r>
          <rPr>
            <b/>
            <sz val="9"/>
            <rFont val="Tahoma"/>
            <family val="0"/>
          </rPr>
          <t>kraftsl:</t>
        </r>
        <r>
          <rPr>
            <sz val="9"/>
            <rFont val="Tahoma"/>
            <family val="0"/>
          </rPr>
          <t xml:space="preserve">
Source: http://greenvalues.cnt.org/national/benefits_detail.php</t>
        </r>
      </text>
    </comment>
    <comment ref="A18" authorId="0">
      <text>
        <r>
          <rPr>
            <b/>
            <sz val="9"/>
            <rFont val="Tahoma"/>
            <family val="0"/>
          </rPr>
          <t>kraftsl:</t>
        </r>
        <r>
          <rPr>
            <sz val="9"/>
            <rFont val="Tahoma"/>
            <family val="0"/>
          </rPr>
          <t xml:space="preserve">
Source: http://greenvalues.cnt.org/national/benefits_detail.php</t>
        </r>
      </text>
    </comment>
    <comment ref="B18" authorId="0">
      <text>
        <r>
          <rPr>
            <b/>
            <sz val="9"/>
            <rFont val="Tahoma"/>
            <family val="0"/>
          </rPr>
          <t>kraftsl:</t>
        </r>
        <r>
          <rPr>
            <sz val="9"/>
            <rFont val="Tahoma"/>
            <family val="0"/>
          </rPr>
          <t xml:space="preserve">
Source: http://greenvalues.cnt.org/national/benefits_detail.php</t>
        </r>
      </text>
    </comment>
    <comment ref="D18" authorId="0">
      <text>
        <r>
          <rPr>
            <b/>
            <sz val="9"/>
            <rFont val="Tahoma"/>
            <family val="0"/>
          </rPr>
          <t>kraftsl:</t>
        </r>
        <r>
          <rPr>
            <sz val="9"/>
            <rFont val="Tahoma"/>
            <family val="0"/>
          </rPr>
          <t xml:space="preserve">
Source: http://greenvalues.cnt.org/national/benefits_detail.php</t>
        </r>
      </text>
    </comment>
  </commentList>
</comments>
</file>

<file path=xl/sharedStrings.xml><?xml version="1.0" encoding="utf-8"?>
<sst xmlns="http://schemas.openxmlformats.org/spreadsheetml/2006/main" count="664" uniqueCount="224">
  <si>
    <t>Kane</t>
  </si>
  <si>
    <t>Casell</t>
  </si>
  <si>
    <t>Ponca</t>
  </si>
  <si>
    <t>Broening</t>
  </si>
  <si>
    <t>Trucks</t>
  </si>
  <si>
    <t>Escorts</t>
  </si>
  <si>
    <t>TOTAL</t>
  </si>
  <si>
    <t>Trucks (6 mos)</t>
  </si>
  <si>
    <t>Escorts (6 mos)</t>
  </si>
  <si>
    <t>Trucks (1 yr)</t>
  </si>
  <si>
    <t>Escorts (1 yr)</t>
  </si>
  <si>
    <t>Length (mi)</t>
  </si>
  <si>
    <t>Miles Saved per year</t>
  </si>
  <si>
    <t>Miles Saved per veh</t>
  </si>
  <si>
    <t>Total</t>
  </si>
  <si>
    <t>Table 13. 2000 Pavement, Congestion, Crash, Air Pollution, and Noise Costs for Illustrative Vehicles Under Specific Conditions</t>
  </si>
  <si>
    <t>Vehicle Class/Highway Class</t>
  </si>
  <si>
    <t>Cents per Mile</t>
  </si>
  <si>
    <t>Pavement</t>
  </si>
  <si>
    <t>Congestion</t>
  </si>
  <si>
    <t>Crash</t>
  </si>
  <si>
    <t>Air Pollution</t>
  </si>
  <si>
    <t>Noise</t>
  </si>
  <si>
    <t>Autos/Rural Interstate</t>
  </si>
  <si>
    <t>Autos/Urban Interstate</t>
  </si>
  <si>
    <t>40 kip 4-axle S.U. Truck/Rural Interstate</t>
  </si>
  <si>
    <t>40 kip 4-axle S.U. Truck/Urban Interstate</t>
  </si>
  <si>
    <t>60 kip 4-axle S.U. Truck/Rural Interstate</t>
  </si>
  <si>
    <t>60 kip 4-axle S.U. Truck/Urban Interstate</t>
  </si>
  <si>
    <t>60 kip 5-axle Comb/Rural Interstate</t>
  </si>
  <si>
    <t>60 kip 5-axle Comb/Urban Interstate</t>
  </si>
  <si>
    <t>80 kip 5-axle Comb/Rural Interstate</t>
  </si>
  <si>
    <t>80 kip 5-axle Comb/Urban Interstate</t>
  </si>
  <si>
    <t>NOTE: S.U. = Single Unit, Comb. = Combination; Air pollution costs are averages of costs of travel on all rural and urban highway classes, not just Interstate. Available data do not allow differences in air pollution costs for heavy truck classes to be distinguished.</t>
  </si>
  <si>
    <t>http://www.fhwa.dot.gov/policy/hcas/addendum.htm</t>
  </si>
  <si>
    <t>Escort/Truck Ratio</t>
  </si>
  <si>
    <t>Truck Multipliers</t>
  </si>
  <si>
    <t>Air</t>
  </si>
  <si>
    <t>Escort Multipliers</t>
  </si>
  <si>
    <t>Yearly Total</t>
  </si>
  <si>
    <t>VMT Reduction</t>
  </si>
  <si>
    <t>Pavement Savings</t>
  </si>
  <si>
    <t>Congestion Savings</t>
  </si>
  <si>
    <t>Crash Savings</t>
  </si>
  <si>
    <t>Air Savings</t>
  </si>
  <si>
    <t>Noise Savings</t>
  </si>
  <si>
    <t>http://www.bls.gov/data/inflation_calculator.htm</t>
  </si>
  <si>
    <t>DOLLARS PER MILE</t>
  </si>
  <si>
    <t>Dollars Per Mile</t>
  </si>
  <si>
    <t>2000 Values in dollars</t>
  </si>
  <si>
    <t>Discount Rates (3%)</t>
  </si>
  <si>
    <t>Discounted Savings (3%)</t>
  </si>
  <si>
    <t>Discount Rates (7%)</t>
  </si>
  <si>
    <t>Discounted Savings (7%)</t>
  </si>
  <si>
    <t>Gallons of Truck Fuel Saved</t>
  </si>
  <si>
    <t>Gallons of Escort Fuel Saved</t>
  </si>
  <si>
    <t>Savings with Project</t>
  </si>
  <si>
    <t>Macro Econ Oil Imports</t>
  </si>
  <si>
    <t>Truck Fuel Tax</t>
  </si>
  <si>
    <t>Escort Fuel Tax</t>
  </si>
  <si>
    <t>Ton-miles of VMT Reduction</t>
  </si>
  <si>
    <t>Tons GHG (CO2) eliminated</t>
  </si>
  <si>
    <t>$ per ton of GHG</t>
  </si>
  <si>
    <t>GHG Reduction</t>
  </si>
  <si>
    <t>State of Good Repair</t>
  </si>
  <si>
    <t>Subtotal Quantified Benefits State of Good Repair</t>
  </si>
  <si>
    <t>Economic Competitiveness</t>
  </si>
  <si>
    <t>Subtotal Quantified Benefits Economic Competitiveness</t>
  </si>
  <si>
    <t>Livability</t>
  </si>
  <si>
    <t>Subtotal Quantified Benefits Livability</t>
  </si>
  <si>
    <t>Environmental Sustainability</t>
  </si>
  <si>
    <t>Subtotal Quantified Benefits Environmental Sustainability</t>
  </si>
  <si>
    <t>Safety</t>
  </si>
  <si>
    <t>Subtotal Quantified Benefits Safety</t>
  </si>
  <si>
    <t>Benefit Cost Ratio</t>
  </si>
  <si>
    <t>Oil Import Macro Costs</t>
  </si>
  <si>
    <t>Fuel Tax</t>
  </si>
  <si>
    <t>Pollution</t>
  </si>
  <si>
    <t>GHG</t>
  </si>
  <si>
    <t>Project Cost</t>
  </si>
  <si>
    <t>Total Quantified Benefits</t>
  </si>
  <si>
    <t>Calendar Year</t>
  </si>
  <si>
    <t>Project Year</t>
  </si>
  <si>
    <t>Long Term Outcomes</t>
  </si>
  <si>
    <t>Permit Trucks</t>
  </si>
  <si>
    <t>Escort Veh</t>
  </si>
  <si>
    <t>Discounted VMT Savings (3%)</t>
  </si>
  <si>
    <t>Discounted VMT Savings (7%)</t>
  </si>
  <si>
    <t>VMT Savings with Project</t>
  </si>
  <si>
    <t>Maintenance of Ex. Bridge</t>
  </si>
  <si>
    <t>Maintenance of Ex. Bridge Dis. 3%</t>
  </si>
  <si>
    <t>Maintenance of Ex. Bridge Dis. 7%</t>
  </si>
  <si>
    <t>Maintenance of New Bridge</t>
  </si>
  <si>
    <t>Maintenance of New Bridge Dis. 3%</t>
  </si>
  <si>
    <t>Maintenance of New Bridge Dis. 7%</t>
  </si>
  <si>
    <t>State of Good Repair Savings with Project</t>
  </si>
  <si>
    <t>State of Good Repair without Project</t>
  </si>
  <si>
    <t>Average</t>
  </si>
  <si>
    <t>Cardiff Trucks/Bridge Reroute Trucks</t>
  </si>
  <si>
    <t>WEIGHTED AVERAGE</t>
  </si>
  <si>
    <t>2000 CPI</t>
  </si>
  <si>
    <t>Length of Keith-95</t>
  </si>
  <si>
    <t>Truck mpg</t>
  </si>
  <si>
    <t>Veh. mpg</t>
  </si>
  <si>
    <t>$ per gal</t>
  </si>
  <si>
    <t>Diesel tax/gal</t>
  </si>
  <si>
    <t>Gas tax/gal</t>
  </si>
  <si>
    <t>truck load (T)</t>
  </si>
  <si>
    <t>tons GHG per M ton-mi</t>
  </si>
  <si>
    <t>daily</t>
  </si>
  <si>
    <t>Dundalk Port Counts</t>
  </si>
  <si>
    <t>yearly</t>
  </si>
  <si>
    <t>miles</t>
  </si>
  <si>
    <t>Costs without Project</t>
  </si>
  <si>
    <t>Dundalk to/from north only</t>
  </si>
  <si>
    <t>5 years growth (5%)</t>
  </si>
  <si>
    <t>Baseline and Problems to be Addressed</t>
  </si>
  <si>
    <t>Change to Baseline</t>
  </si>
  <si>
    <t>Impacts</t>
  </si>
  <si>
    <t>Affected Population</t>
  </si>
  <si>
    <t>Economic Benefit</t>
  </si>
  <si>
    <t>7% Discounted Benefits</t>
  </si>
  <si>
    <t>Page</t>
  </si>
  <si>
    <t>Deteriorating Colgate Creek Bridge</t>
  </si>
  <si>
    <t>2. Replacing the Bridge (with-project condition)</t>
  </si>
  <si>
    <t>Oversize permit trucks can cross the new bridge</t>
  </si>
  <si>
    <t>All Permit Trucks currently too heavy to cross the bridge</t>
  </si>
  <si>
    <t>Increased benefits associated with a reduction in VMT for permit trucks and truck escort vehicles</t>
  </si>
  <si>
    <t>a. Increased costs associated with additional VMT</t>
  </si>
  <si>
    <t>a. All DMT truck traffic</t>
  </si>
  <si>
    <t>b. All bridge traffic</t>
  </si>
  <si>
    <t>Yearly Trucks</t>
  </si>
  <si>
    <t>Total Net Benefits - 3% Discount Rate</t>
  </si>
  <si>
    <t>Total Net Benefits - 7% Discount Rate</t>
  </si>
  <si>
    <t>Reroute Distance Increase</t>
  </si>
  <si>
    <t>2000 Values Converted to 2015 Values</t>
  </si>
  <si>
    <t>Distance Increase</t>
  </si>
  <si>
    <t>Truck traffic along Broening Highway using residential streets</t>
  </si>
  <si>
    <t>FHWA 2000 Values Converted to 2015 Values</t>
  </si>
  <si>
    <t>COMBINED</t>
  </si>
  <si>
    <t>Maintenance of Ex. Joints</t>
  </si>
  <si>
    <t>Maintenance of Ex. Joints Dis. 3%</t>
  </si>
  <si>
    <t>Maintenance of Ex. Joints Dis. 7%</t>
  </si>
  <si>
    <t>Maintenance of New Joints</t>
  </si>
  <si>
    <t>Maintenance of New Joints Dis. 3%</t>
  </si>
  <si>
    <t>Maintenance of New Joints Dis. 7%</t>
  </si>
  <si>
    <t>Estimated Length (ft)</t>
  </si>
  <si>
    <t>Estimated Width (ft)</t>
  </si>
  <si>
    <t>Area (ft^2)</t>
  </si>
  <si>
    <t>Area (acres)</t>
  </si>
  <si>
    <t>Precipitation (inch/year)</t>
  </si>
  <si>
    <t>Precipitation (ft/year)</t>
  </si>
  <si>
    <t>Annual Rainfall Volume (acre-ft)</t>
  </si>
  <si>
    <t>Runoff Permeable (fraction of precipitation)</t>
  </si>
  <si>
    <t>Infiltration Permeable (fraction of Precipitation)</t>
  </si>
  <si>
    <t>Runoff Impermeable</t>
  </si>
  <si>
    <t>Infiltration Impermeable</t>
  </si>
  <si>
    <t>Value of Groundwater Recharge ($ per acre-foot infiltrated) Mean</t>
  </si>
  <si>
    <t>New Infiltration acre-ft/yr</t>
  </si>
  <si>
    <t>Previous Infiltration</t>
  </si>
  <si>
    <t>Infiltration Gain</t>
  </si>
  <si>
    <t>Net benefit per year ($)</t>
  </si>
  <si>
    <t>Value of Groundwater Recharge ($ per acre-foot infiltrated) High</t>
  </si>
  <si>
    <t>Value of Reduced Treatment ($ per acre-ft of runoff reduced)</t>
  </si>
  <si>
    <t>New Runoff (acre-ft)</t>
  </si>
  <si>
    <t>Old Runoff (acre-ft)</t>
  </si>
  <si>
    <t>Reduction</t>
  </si>
  <si>
    <t>Benefit per year ($)</t>
  </si>
  <si>
    <t>Cost of removing pound of Suspended Solids ($)</t>
  </si>
  <si>
    <t>Concentration of SS in Street (mg/l)</t>
  </si>
  <si>
    <t>Previous annual mass in runoff (lb)</t>
  </si>
  <si>
    <t>Concentration of SS in Lawns</t>
  </si>
  <si>
    <t>New annual mass in runoff (lb)</t>
  </si>
  <si>
    <t>Reduction in SS (lb)</t>
  </si>
  <si>
    <t>Cost of removing pound of phosphorus ($)</t>
  </si>
  <si>
    <t>Concentration of Phosphorus in Street (mg/l)</t>
  </si>
  <si>
    <t>Concentration of Phosphorus in Lawns</t>
  </si>
  <si>
    <t>Reduction in Phosphorus (lb)</t>
  </si>
  <si>
    <t>Total Benefit (using mean value for Infiltration) ($/year)</t>
  </si>
  <si>
    <t>Total Benefit (using high for infiltration) ($/year)</t>
  </si>
  <si>
    <t>Refrences:</t>
  </si>
  <si>
    <t>http://greenvalues.cnt.org/national/benefits_detail.php</t>
  </si>
  <si>
    <t>http://www.usclimatedata.com/climate/maryland/united-states/1872</t>
  </si>
  <si>
    <t>http://www.epa.gov/caddis/ssr_urb_is1.html</t>
  </si>
  <si>
    <t>https://www.wolframalpha.com/</t>
  </si>
  <si>
    <t>Bio Retention Benefit with Project</t>
  </si>
  <si>
    <t>Bio Retention for Complete Streets</t>
  </si>
  <si>
    <t>Complete Streets Dis. 3%</t>
  </si>
  <si>
    <t>Complete Streets Dis. 7%</t>
  </si>
  <si>
    <t>Micro-Bio Retention</t>
  </si>
  <si>
    <t>Maintenance of Existing Bridge and Joints</t>
  </si>
  <si>
    <t>Maintenance of Replacement Bridge and Joints</t>
  </si>
  <si>
    <t>Maintenance of Existing</t>
  </si>
  <si>
    <t>Maintenance of Existing Dis. 3%</t>
  </si>
  <si>
    <t>Maintenance of Existing Dis. 7%</t>
  </si>
  <si>
    <t>Referenced Value</t>
  </si>
  <si>
    <t>2015 Dollars</t>
  </si>
  <si>
    <t>Reference</t>
  </si>
  <si>
    <t>Macro-Economic Costs of Oil</t>
  </si>
  <si>
    <t xml:space="preserve">     Autos Urban Interstate</t>
  </si>
  <si>
    <t xml:space="preserve">     60-kip 5 axle Comb/Urban Interstate</t>
  </si>
  <si>
    <t xml:space="preserve">     80-kip 5 axle Comb/Urban Interstate</t>
  </si>
  <si>
    <t>Benefit and Year</t>
  </si>
  <si>
    <t>http://www.eia.gov</t>
  </si>
  <si>
    <t xml:space="preserve">     US Oil imports dollar per gallon - 2014</t>
  </si>
  <si>
    <t>Micro-Bioretention</t>
  </si>
  <si>
    <t>VMT - dollars per mile - 2000</t>
  </si>
  <si>
    <t xml:space="preserve">     Groundwater Recharge dollar per acre foot - 1976</t>
  </si>
  <si>
    <t xml:space="preserve">     Reduced Treatment dollar per ace foot - 2005</t>
  </si>
  <si>
    <t xml:space="preserve">     Suspended Solids dollar per pound - 1999</t>
  </si>
  <si>
    <t xml:space="preserve">     Phosporous dollar per pound - 1999</t>
  </si>
  <si>
    <t>2015 CPI</t>
  </si>
  <si>
    <t>All trucks to and from I-95 N that do not use Keith Avenue</t>
  </si>
  <si>
    <t>Improve joints on Keith Avenue and pavement on Holabird Avenue to improve primary and secondary freight routes to I-95 and implement complete streets improvements along Broening Highway between Holabird Avenue and Boston Avenue (with-project condition)</t>
  </si>
  <si>
    <t>All truck traffic can use identified and signed truck routes and is removed from residential streets</t>
  </si>
  <si>
    <t>1. Closing the bridge to all traffic after 9 years (without-project condition)</t>
  </si>
  <si>
    <t>a. DMT truck traffic growth would have to be rerouted to access I-95 and all DMT truck traffic would be rerouted after 9 years</t>
  </si>
  <si>
    <t>b. The existing bridge would have to be maintained for 9 years</t>
  </si>
  <si>
    <t>b. Maintenance costs for the existing bridge for 9 years</t>
  </si>
  <si>
    <t>Over $33,000,000 in additional cost</t>
  </si>
  <si>
    <t>Over $34,000 in additional benefits</t>
  </si>
  <si>
    <t>Over $1,500,000 in maintenance costs</t>
  </si>
  <si>
    <t>Over $134,000 in additional benefits</t>
  </si>
  <si>
    <t>Increased benefits associated with the reduced maintenance costs along Keith Avenue and stormwater management benefits associated with complete streets improvements micro-bioretention on Broening Highway</t>
  </si>
</sst>
</file>

<file path=xl/styles.xml><?xml version="1.0" encoding="utf-8"?>
<styleSheet xmlns="http://schemas.openxmlformats.org/spreadsheetml/2006/main">
  <numFmts count="2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000000"/>
    <numFmt numFmtId="169" formatCode="0.00000000"/>
    <numFmt numFmtId="170" formatCode="0.00000"/>
    <numFmt numFmtId="171" formatCode="0.0000"/>
    <numFmt numFmtId="172" formatCode="0.000"/>
    <numFmt numFmtId="173" formatCode="0.0"/>
    <numFmt numFmtId="174" formatCode="[$-409]dddd\,\ mmmm\ dd\,\ yyyy"/>
    <numFmt numFmtId="175" formatCode="[$-409]h:mm:ss\ AM/PM"/>
    <numFmt numFmtId="176" formatCode="0.000000"/>
    <numFmt numFmtId="177" formatCode="_(&quot;$&quot;* #,##0_);_(&quot;$&quot;* \(#,##0\);_(&quot;$&quot;* &quot;-&quot;??_);_(@_)"/>
    <numFmt numFmtId="178" formatCode="0.0%"/>
    <numFmt numFmtId="179" formatCode="#,##0.0_);\(#,##0.0\)"/>
    <numFmt numFmtId="180" formatCode="0.000000000"/>
    <numFmt numFmtId="181" formatCode="_(&quot;$&quot;* #,##0.000_);_(&quot;$&quot;* \(#,##0.000\);_(&quot;$&quot;* &quot;-&quot;??_);_(@_)"/>
    <numFmt numFmtId="182" formatCode="_(&quot;$&quot;* #,##0.0000_);_(&quot;$&quot;* \(#,##0.0000\);_(&quot;$&quot;* &quot;-&quot;??_);_(@_)"/>
    <numFmt numFmtId="183" formatCode="_(&quot;$&quot;* #,##0.00000_);_(&quot;$&quot;* \(#,##0.00000\);_(&quot;$&quot;* &quot;-&quot;??_);_(@_)"/>
  </numFmts>
  <fonts count="50">
    <font>
      <sz val="11"/>
      <color theme="1"/>
      <name val="Calibri"/>
      <family val="2"/>
    </font>
    <font>
      <sz val="11"/>
      <color indexed="8"/>
      <name val="Calibri"/>
      <family val="2"/>
    </font>
    <font>
      <b/>
      <sz val="9"/>
      <name val="Tahoma"/>
      <family val="0"/>
    </font>
    <font>
      <sz val="9"/>
      <name val="Tahoma"/>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7.5"/>
      <color indexed="8"/>
      <name val="Arial"/>
      <family val="2"/>
    </font>
    <font>
      <sz val="7.5"/>
      <color indexed="8"/>
      <name val="Arial"/>
      <family val="2"/>
    </font>
    <font>
      <b/>
      <sz val="12"/>
      <color indexed="8"/>
      <name val="Calibri"/>
      <family val="2"/>
    </font>
    <font>
      <sz val="11"/>
      <name val="Calibri"/>
      <family val="2"/>
    </font>
    <font>
      <b/>
      <sz val="11"/>
      <color indexed="17"/>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7.5"/>
      <color theme="1"/>
      <name val="Arial"/>
      <family val="2"/>
    </font>
    <font>
      <sz val="7.5"/>
      <color theme="1"/>
      <name val="Arial"/>
      <family val="2"/>
    </font>
    <font>
      <b/>
      <sz val="12"/>
      <color theme="1"/>
      <name val="Calibri"/>
      <family val="2"/>
    </font>
    <font>
      <sz val="11"/>
      <color rgb="FF00B050"/>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theme="0" tint="-0.24997000396251678"/>
        <bgColor indexed="64"/>
      </patternFill>
    </fill>
    <fill>
      <patternFill patternType="solid">
        <fgColor theme="0" tint="-0.1499900072813034"/>
        <bgColor indexed="64"/>
      </patternFill>
    </fill>
    <fill>
      <patternFill patternType="solid">
        <fgColor rgb="FF00B050"/>
        <bgColor indexed="64"/>
      </patternFill>
    </fill>
  </fills>
  <borders count="8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rgb="FF000000"/>
      </left>
      <right style="thin">
        <color rgb="FF000000"/>
      </right>
      <top style="thin">
        <color rgb="FF000000"/>
      </top>
      <bottom style="thin">
        <color rgb="FF000000"/>
      </bottom>
    </border>
    <border>
      <left style="thin"/>
      <right style="thin"/>
      <top>
        <color indexed="63"/>
      </top>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medium"/>
      <top>
        <color indexed="63"/>
      </top>
      <bottom style="thin"/>
    </border>
    <border>
      <left>
        <color indexed="63"/>
      </left>
      <right style="medium"/>
      <top>
        <color indexed="63"/>
      </top>
      <bottom style="thin"/>
    </border>
    <border>
      <left style="medium"/>
      <right style="thin"/>
      <top>
        <color indexed="63"/>
      </top>
      <bottom style="thin"/>
    </border>
    <border>
      <left style="thin"/>
      <right style="medium"/>
      <top>
        <color indexed="63"/>
      </top>
      <bottom style="thin"/>
    </border>
    <border>
      <left style="thin"/>
      <right style="thin"/>
      <top style="thin"/>
      <bottom style="thin"/>
    </border>
    <border>
      <left style="medium"/>
      <right style="medium"/>
      <top style="thin"/>
      <bottom style="thin"/>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style="medium"/>
      <top>
        <color indexed="63"/>
      </top>
      <bottom style="medium"/>
    </border>
    <border>
      <left style="medium"/>
      <right style="medium"/>
      <top style="medium"/>
      <bottom>
        <color indexed="63"/>
      </bottom>
    </border>
    <border>
      <left style="medium"/>
      <right style="medium"/>
      <top>
        <color indexed="63"/>
      </top>
      <bottom>
        <color indexed="63"/>
      </bottom>
    </border>
    <border>
      <left>
        <color indexed="63"/>
      </left>
      <right style="medium"/>
      <top style="thin"/>
      <bottom style="medium"/>
    </border>
    <border>
      <left style="medium"/>
      <right style="medium"/>
      <top style="thin"/>
      <bottom style="medium"/>
    </border>
    <border>
      <left>
        <color indexed="63"/>
      </left>
      <right>
        <color indexed="63"/>
      </right>
      <top>
        <color indexed="63"/>
      </top>
      <bottom style="thin"/>
    </border>
    <border>
      <left>
        <color indexed="63"/>
      </left>
      <right style="thin"/>
      <top style="thin"/>
      <bottom style="medium"/>
    </border>
    <border>
      <left>
        <color indexed="63"/>
      </left>
      <right style="thin"/>
      <top>
        <color indexed="63"/>
      </top>
      <bottom style="thin"/>
    </border>
    <border>
      <left style="medium"/>
      <right>
        <color indexed="63"/>
      </right>
      <top>
        <color indexed="63"/>
      </top>
      <bottom style="thin"/>
    </border>
    <border>
      <left style="medium"/>
      <right style="thin"/>
      <top style="thin"/>
      <bottom>
        <color indexed="63"/>
      </bottom>
    </border>
    <border>
      <left style="medium"/>
      <right>
        <color indexed="63"/>
      </right>
      <top style="medium"/>
      <bottom style="medium"/>
    </border>
    <border>
      <left>
        <color indexed="63"/>
      </left>
      <right>
        <color indexed="63"/>
      </right>
      <top style="medium"/>
      <bottom style="medium"/>
    </border>
    <border>
      <left style="thin"/>
      <right style="thin"/>
      <top style="medium"/>
      <bottom style="medium"/>
    </border>
    <border>
      <left>
        <color indexed="63"/>
      </left>
      <right style="medium"/>
      <top style="medium"/>
      <bottom style="medium"/>
    </border>
    <border>
      <left style="medium"/>
      <right style="medium"/>
      <top style="medium"/>
      <bottom style="medium"/>
    </border>
    <border>
      <left style="medium"/>
      <right style="thin"/>
      <top style="medium"/>
      <bottom style="medium"/>
    </border>
    <border>
      <left style="thin"/>
      <right style="medium"/>
      <top style="medium"/>
      <bottom style="medium"/>
    </border>
    <border>
      <left style="thin"/>
      <right>
        <color indexed="63"/>
      </right>
      <top>
        <color indexed="63"/>
      </top>
      <bottom style="thin"/>
    </border>
    <border>
      <left style="thin"/>
      <right>
        <color indexed="63"/>
      </right>
      <top style="thin"/>
      <bottom style="thin"/>
    </border>
    <border>
      <left>
        <color indexed="63"/>
      </left>
      <right>
        <color indexed="63"/>
      </right>
      <top>
        <color indexed="63"/>
      </top>
      <bottom style="medium"/>
    </border>
    <border>
      <left style="medium"/>
      <right style="thin"/>
      <top style="medium"/>
      <bottom style="thin"/>
    </border>
    <border>
      <left style="thin"/>
      <right style="medium"/>
      <top style="medium"/>
      <bottom style="thin"/>
    </border>
    <border>
      <left style="thin"/>
      <right style="medium"/>
      <top style="thin"/>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style="medium"/>
    </border>
    <border>
      <left style="thin">
        <color rgb="FF000000"/>
      </left>
      <right style="thin">
        <color rgb="FF000000"/>
      </right>
      <top>
        <color indexed="63"/>
      </top>
      <bottom>
        <color indexed="63"/>
      </bottom>
    </border>
    <border>
      <left style="thin">
        <color rgb="FF000000"/>
      </left>
      <right>
        <color indexed="63"/>
      </right>
      <top style="thin">
        <color rgb="FF000000"/>
      </top>
      <bottom style="thin">
        <color rgb="FF000000"/>
      </bottom>
    </border>
    <border>
      <left style="thin"/>
      <right style="thin"/>
      <top style="thin"/>
      <bottom>
        <color indexed="63"/>
      </bottom>
    </border>
    <border>
      <left>
        <color indexed="63"/>
      </left>
      <right style="medium"/>
      <top>
        <color indexed="63"/>
      </top>
      <bottom>
        <color indexed="63"/>
      </bottom>
    </border>
    <border>
      <left style="medium"/>
      <right style="medium"/>
      <top style="thin"/>
      <bottom>
        <color indexed="63"/>
      </bottom>
    </border>
    <border>
      <left style="medium"/>
      <right style="thin"/>
      <top>
        <color indexed="63"/>
      </top>
      <bottom>
        <color indexed="63"/>
      </bottom>
    </border>
    <border>
      <left style="thin"/>
      <right style="medium"/>
      <top>
        <color indexed="63"/>
      </top>
      <bottom>
        <color indexed="63"/>
      </bottom>
    </border>
    <border>
      <left>
        <color indexed="63"/>
      </left>
      <right>
        <color indexed="63"/>
      </right>
      <top style="thin"/>
      <bottom style="medium"/>
    </border>
    <border>
      <left style="medium"/>
      <right style="thin"/>
      <top>
        <color indexed="63"/>
      </top>
      <bottom style="medium"/>
    </border>
    <border>
      <left style="thin"/>
      <right style="medium"/>
      <top>
        <color indexed="63"/>
      </top>
      <bottom style="medium"/>
    </border>
    <border>
      <left style="thin">
        <color rgb="FF000000"/>
      </left>
      <right style="thin">
        <color rgb="FF000000"/>
      </right>
      <top style="thin">
        <color rgb="FF000000"/>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color indexed="63"/>
      </bottom>
    </border>
    <border>
      <left>
        <color indexed="63"/>
      </left>
      <right>
        <color indexed="63"/>
      </right>
      <top style="thin"/>
      <bottom style="thin"/>
    </border>
    <border>
      <left>
        <color indexed="63"/>
      </left>
      <right style="thin"/>
      <top style="thin"/>
      <bottom style="thin"/>
    </border>
    <border>
      <left>
        <color indexed="63"/>
      </left>
      <right style="thin"/>
      <top style="thin"/>
      <bottom>
        <color indexed="63"/>
      </bottom>
    </border>
    <border>
      <left>
        <color indexed="63"/>
      </left>
      <right style="thin"/>
      <top>
        <color indexed="63"/>
      </top>
      <bottom>
        <color indexed="63"/>
      </bottom>
    </border>
    <border>
      <left style="medium"/>
      <right>
        <color indexed="63"/>
      </right>
      <top style="thin"/>
      <bottom style="medium"/>
    </border>
    <border>
      <left>
        <color indexed="63"/>
      </left>
      <right style="thin"/>
      <top>
        <color indexed="63"/>
      </top>
      <bottom style="medium"/>
    </border>
    <border>
      <left>
        <color indexed="63"/>
      </left>
      <right style="medium"/>
      <top style="medium"/>
      <bottom style="thin"/>
    </border>
    <border>
      <left style="thin"/>
      <right style="thin"/>
      <top>
        <color indexed="63"/>
      </top>
      <bottom style="medium"/>
    </border>
    <border>
      <left style="thin"/>
      <right style="thin"/>
      <top style="medium"/>
      <bottom style="thin"/>
    </border>
    <border>
      <left>
        <color indexed="63"/>
      </left>
      <right style="medium"/>
      <top style="thin"/>
      <bottom style="thin"/>
    </border>
    <border>
      <left style="medium"/>
      <right>
        <color indexed="63"/>
      </right>
      <top style="thin"/>
      <bottom style="thin"/>
    </border>
    <border>
      <left style="medium"/>
      <right>
        <color indexed="63"/>
      </right>
      <top style="thin"/>
      <bottom>
        <color indexed="63"/>
      </bottom>
    </border>
    <border>
      <left>
        <color indexed="63"/>
      </left>
      <right>
        <color indexed="63"/>
      </right>
      <top style="thin">
        <color rgb="FF000000"/>
      </top>
      <bottom style="thin">
        <color rgb="FF000000"/>
      </bottom>
    </border>
    <border>
      <left>
        <color indexed="63"/>
      </left>
      <right style="thin">
        <color rgb="FF000000"/>
      </right>
      <top style="thin">
        <color rgb="FF000000"/>
      </top>
      <bottom style="thin">
        <color rgb="FF000000"/>
      </bottom>
    </border>
    <border>
      <left style="thin">
        <color rgb="FF000000"/>
      </left>
      <right style="thin">
        <color rgb="FF000000"/>
      </right>
      <top>
        <color indexed="63"/>
      </top>
      <bottom style="thin">
        <color rgb="FF000000"/>
      </bottom>
    </border>
    <border>
      <left>
        <color indexed="63"/>
      </left>
      <right style="thin"/>
      <top style="medium"/>
      <bottom style="medium"/>
    </border>
    <border>
      <left>
        <color indexed="63"/>
      </left>
      <right style="thin"/>
      <top style="medium"/>
      <bottom style="thin"/>
    </border>
    <border>
      <left style="thin"/>
      <right style="medium"/>
      <top style="medium"/>
      <bottom>
        <color indexed="63"/>
      </bottom>
    </border>
    <border>
      <left style="medium"/>
      <right style="thin"/>
      <top style="medium"/>
      <bottom>
        <color indexed="63"/>
      </bottom>
    </border>
    <border>
      <left>
        <color indexed="63"/>
      </left>
      <right style="thin"/>
      <top style="medium"/>
      <bottom>
        <color indexed="63"/>
      </bottom>
    </border>
    <border>
      <left style="thin"/>
      <right>
        <color indexed="63"/>
      </right>
      <top style="medium"/>
      <bottom>
        <color indexed="63"/>
      </bottom>
    </border>
    <border>
      <left style="thin"/>
      <right>
        <color indexed="63"/>
      </right>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391">
    <xf numFmtId="0" fontId="0" fillId="0" borderId="0" xfId="0" applyFont="1" applyAlignment="1">
      <alignment/>
    </xf>
    <xf numFmtId="0" fontId="43" fillId="0" borderId="0" xfId="0" applyFont="1" applyAlignment="1">
      <alignment/>
    </xf>
    <xf numFmtId="0" fontId="45" fillId="0" borderId="10" xfId="0" applyFont="1" applyBorder="1" applyAlignment="1">
      <alignment horizontal="center" wrapText="1"/>
    </xf>
    <xf numFmtId="0" fontId="46" fillId="0" borderId="10" xfId="0" applyFont="1" applyBorder="1" applyAlignment="1">
      <alignment vertical="top" wrapText="1"/>
    </xf>
    <xf numFmtId="0" fontId="46" fillId="0" borderId="10" xfId="0" applyFont="1" applyBorder="1" applyAlignment="1">
      <alignment horizontal="right" vertical="top" wrapText="1"/>
    </xf>
    <xf numFmtId="0" fontId="46" fillId="0" borderId="10" xfId="0" applyFont="1" applyBorder="1" applyAlignment="1">
      <alignment horizontal="center" vertical="top" wrapText="1"/>
    </xf>
    <xf numFmtId="0" fontId="0" fillId="0" borderId="0" xfId="0" applyAlignment="1">
      <alignment horizontal="center"/>
    </xf>
    <xf numFmtId="0" fontId="46" fillId="33" borderId="10" xfId="0" applyFont="1" applyFill="1" applyBorder="1" applyAlignment="1">
      <alignment vertical="top" wrapText="1"/>
    </xf>
    <xf numFmtId="2" fontId="0" fillId="0" borderId="0" xfId="0" applyNumberFormat="1" applyAlignment="1">
      <alignment/>
    </xf>
    <xf numFmtId="0" fontId="0" fillId="0" borderId="0" xfId="0" applyAlignment="1">
      <alignment horizontal="center"/>
    </xf>
    <xf numFmtId="0" fontId="46" fillId="0" borderId="10" xfId="0" applyFont="1" applyFill="1" applyBorder="1" applyAlignment="1">
      <alignment vertical="top" wrapText="1"/>
    </xf>
    <xf numFmtId="0" fontId="46" fillId="0" borderId="10" xfId="0" applyFont="1" applyFill="1" applyBorder="1" applyAlignment="1">
      <alignment horizontal="right" vertical="top" wrapText="1"/>
    </xf>
    <xf numFmtId="0" fontId="46" fillId="0" borderId="10" xfId="0" applyFont="1" applyFill="1" applyBorder="1" applyAlignment="1">
      <alignment horizontal="center" vertical="top" wrapText="1"/>
    </xf>
    <xf numFmtId="0" fontId="0" fillId="0" borderId="11" xfId="0"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0" fontId="0" fillId="0" borderId="14"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2" fontId="0" fillId="0" borderId="18" xfId="0" applyNumberFormat="1" applyBorder="1" applyAlignment="1">
      <alignment horizontal="center"/>
    </xf>
    <xf numFmtId="0" fontId="0" fillId="0" borderId="19" xfId="0" applyBorder="1" applyAlignment="1">
      <alignment horizontal="center"/>
    </xf>
    <xf numFmtId="0" fontId="0" fillId="0" borderId="20" xfId="0" applyBorder="1" applyAlignment="1">
      <alignment horizontal="center"/>
    </xf>
    <xf numFmtId="44" fontId="0" fillId="0" borderId="19" xfId="44" applyFont="1" applyBorder="1" applyAlignment="1">
      <alignment horizontal="center"/>
    </xf>
    <xf numFmtId="44" fontId="0" fillId="0" borderId="11" xfId="44" applyFont="1" applyBorder="1" applyAlignment="1">
      <alignment horizontal="center"/>
    </xf>
    <xf numFmtId="44" fontId="0" fillId="0" borderId="20" xfId="44" applyFont="1" applyBorder="1" applyAlignment="1">
      <alignment horizontal="center"/>
    </xf>
    <xf numFmtId="44" fontId="0" fillId="0" borderId="12" xfId="44" applyFont="1" applyBorder="1" applyAlignment="1">
      <alignment horizontal="center"/>
    </xf>
    <xf numFmtId="44" fontId="0" fillId="0" borderId="21" xfId="44" applyFont="1" applyBorder="1" applyAlignment="1">
      <alignment horizontal="center"/>
    </xf>
    <xf numFmtId="44" fontId="0" fillId="0" borderId="13" xfId="44" applyFont="1" applyBorder="1" applyAlignment="1">
      <alignment horizontal="center"/>
    </xf>
    <xf numFmtId="44" fontId="0" fillId="0" borderId="18" xfId="44" applyFont="1" applyBorder="1" applyAlignment="1">
      <alignment horizontal="center"/>
    </xf>
    <xf numFmtId="44" fontId="0" fillId="0" borderId="17" xfId="44" applyFont="1" applyBorder="1" applyAlignment="1">
      <alignment horizontal="center"/>
    </xf>
    <xf numFmtId="44" fontId="0" fillId="0" borderId="22" xfId="44" applyFont="1" applyBorder="1" applyAlignment="1">
      <alignment horizontal="center"/>
    </xf>
    <xf numFmtId="2" fontId="0" fillId="0" borderId="18" xfId="44" applyNumberFormat="1" applyFont="1" applyBorder="1" applyAlignment="1">
      <alignment horizontal="center"/>
    </xf>
    <xf numFmtId="1" fontId="0" fillId="0" borderId="18" xfId="44" applyNumberFormat="1" applyFont="1" applyBorder="1" applyAlignment="1">
      <alignment horizontal="center"/>
    </xf>
    <xf numFmtId="0" fontId="47" fillId="34" borderId="23" xfId="0" applyFont="1" applyFill="1" applyBorder="1" applyAlignment="1">
      <alignment/>
    </xf>
    <xf numFmtId="0" fontId="43" fillId="0" borderId="23" xfId="0" applyFont="1" applyBorder="1" applyAlignment="1">
      <alignment horizontal="left"/>
    </xf>
    <xf numFmtId="0" fontId="0" fillId="0" borderId="24" xfId="0" applyBorder="1" applyAlignment="1">
      <alignment horizontal="left" indent="1"/>
    </xf>
    <xf numFmtId="0" fontId="43" fillId="0" borderId="25" xfId="0" applyFont="1" applyBorder="1" applyAlignment="1">
      <alignment/>
    </xf>
    <xf numFmtId="0" fontId="43" fillId="0" borderId="23" xfId="0" applyFont="1" applyBorder="1" applyAlignment="1">
      <alignment/>
    </xf>
    <xf numFmtId="0" fontId="47" fillId="34" borderId="25" xfId="0" applyFont="1" applyFill="1" applyBorder="1" applyAlignment="1">
      <alignment/>
    </xf>
    <xf numFmtId="177" fontId="47" fillId="34" borderId="26" xfId="0" applyNumberFormat="1" applyFont="1" applyFill="1" applyBorder="1" applyAlignment="1">
      <alignment/>
    </xf>
    <xf numFmtId="179" fontId="47" fillId="34" borderId="26" xfId="42" applyNumberFormat="1" applyFont="1" applyFill="1" applyBorder="1" applyAlignment="1">
      <alignment horizontal="center" vertical="center"/>
    </xf>
    <xf numFmtId="0" fontId="0" fillId="0" borderId="27" xfId="0" applyFill="1" applyBorder="1" applyAlignment="1">
      <alignment/>
    </xf>
    <xf numFmtId="177" fontId="0" fillId="0" borderId="28" xfId="44" applyNumberFormat="1" applyFont="1" applyFill="1" applyBorder="1" applyAlignment="1">
      <alignment/>
    </xf>
    <xf numFmtId="177" fontId="43" fillId="0" borderId="26" xfId="0" applyNumberFormat="1" applyFont="1" applyFill="1" applyBorder="1" applyAlignment="1">
      <alignment/>
    </xf>
    <xf numFmtId="42" fontId="0" fillId="0" borderId="28" xfId="0" applyNumberFormat="1" applyFill="1" applyBorder="1" applyAlignment="1">
      <alignment/>
    </xf>
    <xf numFmtId="42" fontId="43" fillId="0" borderId="26" xfId="0" applyNumberFormat="1" applyFont="1" applyFill="1" applyBorder="1" applyAlignment="1">
      <alignment/>
    </xf>
    <xf numFmtId="0" fontId="0" fillId="0" borderId="12" xfId="42" applyNumberFormat="1" applyFont="1" applyBorder="1" applyAlignment="1">
      <alignment horizontal="center"/>
    </xf>
    <xf numFmtId="0" fontId="0" fillId="0" borderId="13" xfId="42" applyNumberFormat="1" applyFont="1" applyBorder="1" applyAlignment="1">
      <alignment horizontal="center"/>
    </xf>
    <xf numFmtId="0" fontId="0" fillId="0" borderId="14" xfId="42" applyNumberFormat="1" applyFont="1" applyBorder="1" applyAlignment="1">
      <alignment horizontal="center"/>
    </xf>
    <xf numFmtId="0" fontId="0" fillId="0" borderId="16" xfId="42" applyNumberFormat="1" applyFont="1" applyBorder="1" applyAlignment="1">
      <alignment horizontal="center"/>
    </xf>
    <xf numFmtId="0" fontId="0" fillId="0" borderId="19" xfId="42" applyNumberFormat="1" applyFont="1" applyBorder="1" applyAlignment="1">
      <alignment horizontal="center"/>
    </xf>
    <xf numFmtId="0" fontId="0" fillId="0" borderId="20" xfId="42" applyNumberFormat="1" applyFont="1" applyBorder="1" applyAlignment="1">
      <alignment horizontal="center"/>
    </xf>
    <xf numFmtId="0" fontId="43" fillId="34" borderId="0" xfId="0" applyFont="1" applyFill="1" applyAlignment="1">
      <alignment horizontal="center"/>
    </xf>
    <xf numFmtId="44" fontId="43" fillId="34" borderId="11" xfId="0" applyNumberFormat="1" applyFont="1" applyFill="1" applyBorder="1" applyAlignment="1">
      <alignment horizontal="center"/>
    </xf>
    <xf numFmtId="0" fontId="43" fillId="34" borderId="29" xfId="0" applyFont="1" applyFill="1" applyBorder="1" applyAlignment="1">
      <alignment horizontal="center"/>
    </xf>
    <xf numFmtId="44" fontId="43" fillId="34" borderId="29" xfId="0" applyNumberFormat="1" applyFont="1" applyFill="1" applyBorder="1" applyAlignment="1">
      <alignment horizontal="center"/>
    </xf>
    <xf numFmtId="0" fontId="43" fillId="34" borderId="30" xfId="0" applyFont="1" applyFill="1" applyBorder="1" applyAlignment="1">
      <alignment horizontal="center"/>
    </xf>
    <xf numFmtId="44" fontId="43" fillId="34" borderId="30" xfId="44" applyFont="1" applyFill="1" applyBorder="1" applyAlignment="1">
      <alignment horizontal="center"/>
    </xf>
    <xf numFmtId="2" fontId="43" fillId="34" borderId="30" xfId="0" applyNumberFormat="1" applyFont="1" applyFill="1" applyBorder="1" applyAlignment="1">
      <alignment horizontal="center"/>
    </xf>
    <xf numFmtId="0" fontId="0" fillId="0" borderId="0" xfId="0" applyAlignment="1">
      <alignment horizontal="center"/>
    </xf>
    <xf numFmtId="0" fontId="0" fillId="0" borderId="19" xfId="0" applyBorder="1" applyAlignment="1">
      <alignment horizontal="center"/>
    </xf>
    <xf numFmtId="0" fontId="0" fillId="0" borderId="11" xfId="0" applyBorder="1" applyAlignment="1">
      <alignment horizontal="center"/>
    </xf>
    <xf numFmtId="0" fontId="0" fillId="0" borderId="20" xfId="0" applyBorder="1" applyAlignment="1">
      <alignment horizontal="center"/>
    </xf>
    <xf numFmtId="0" fontId="0" fillId="0" borderId="31" xfId="0" applyBorder="1" applyAlignment="1">
      <alignment horizontal="center"/>
    </xf>
    <xf numFmtId="0" fontId="0" fillId="0" borderId="18" xfId="0" applyBorder="1" applyAlignment="1">
      <alignment horizontal="center" wrapText="1"/>
    </xf>
    <xf numFmtId="0" fontId="0" fillId="0" borderId="17" xfId="0" applyBorder="1" applyAlignment="1">
      <alignment horizontal="center" wrapText="1"/>
    </xf>
    <xf numFmtId="2" fontId="0" fillId="0" borderId="17" xfId="0" applyNumberFormat="1" applyBorder="1" applyAlignment="1">
      <alignment horizontal="center" wrapText="1"/>
    </xf>
    <xf numFmtId="44" fontId="0" fillId="0" borderId="18" xfId="0" applyNumberFormat="1" applyBorder="1" applyAlignment="1">
      <alignment horizontal="center" wrapText="1"/>
    </xf>
    <xf numFmtId="0" fontId="0" fillId="0" borderId="32" xfId="0" applyBorder="1" applyAlignment="1">
      <alignment horizontal="center"/>
    </xf>
    <xf numFmtId="0" fontId="0" fillId="0" borderId="33" xfId="0" applyBorder="1" applyAlignment="1">
      <alignment horizontal="center"/>
    </xf>
    <xf numFmtId="0" fontId="0" fillId="0" borderId="12" xfId="0" applyBorder="1" applyAlignment="1">
      <alignment horizontal="center" wrapText="1"/>
    </xf>
    <xf numFmtId="0" fontId="0" fillId="0" borderId="19" xfId="0" applyBorder="1" applyAlignment="1">
      <alignment horizontal="center" wrapText="1"/>
    </xf>
    <xf numFmtId="44" fontId="0" fillId="0" borderId="34" xfId="44" applyFont="1" applyBorder="1" applyAlignment="1">
      <alignment horizontal="center"/>
    </xf>
    <xf numFmtId="0" fontId="0" fillId="0" borderId="35" xfId="0" applyBorder="1" applyAlignment="1">
      <alignment horizontal="center"/>
    </xf>
    <xf numFmtId="2" fontId="0" fillId="0" borderId="28" xfId="0" applyNumberFormat="1" applyBorder="1" applyAlignment="1">
      <alignment horizontal="center" wrapText="1"/>
    </xf>
    <xf numFmtId="0" fontId="43" fillId="34" borderId="36" xfId="0" applyFont="1" applyFill="1" applyBorder="1" applyAlignment="1">
      <alignment horizontal="center"/>
    </xf>
    <xf numFmtId="0" fontId="43" fillId="34" borderId="37" xfId="0" applyFont="1" applyFill="1" applyBorder="1" applyAlignment="1">
      <alignment horizontal="center"/>
    </xf>
    <xf numFmtId="44" fontId="43" fillId="34" borderId="38" xfId="0" applyNumberFormat="1" applyFont="1" applyFill="1" applyBorder="1" applyAlignment="1">
      <alignment horizontal="center"/>
    </xf>
    <xf numFmtId="0" fontId="43" fillId="34" borderId="39" xfId="0" applyFont="1" applyFill="1" applyBorder="1" applyAlignment="1">
      <alignment horizontal="center"/>
    </xf>
    <xf numFmtId="44" fontId="43" fillId="34" borderId="39" xfId="0" applyNumberFormat="1" applyFont="1" applyFill="1" applyBorder="1" applyAlignment="1">
      <alignment horizontal="center"/>
    </xf>
    <xf numFmtId="0" fontId="43" fillId="34" borderId="40" xfId="0" applyFont="1" applyFill="1" applyBorder="1" applyAlignment="1">
      <alignment horizontal="center"/>
    </xf>
    <xf numFmtId="44" fontId="43" fillId="34" borderId="40" xfId="44" applyFont="1" applyFill="1" applyBorder="1" applyAlignment="1">
      <alignment horizontal="center"/>
    </xf>
    <xf numFmtId="2" fontId="43" fillId="34" borderId="40" xfId="0" applyNumberFormat="1" applyFont="1" applyFill="1" applyBorder="1" applyAlignment="1">
      <alignment horizontal="center"/>
    </xf>
    <xf numFmtId="44" fontId="43" fillId="34" borderId="41" xfId="0" applyNumberFormat="1" applyFont="1" applyFill="1" applyBorder="1" applyAlignment="1">
      <alignment horizontal="center"/>
    </xf>
    <xf numFmtId="44" fontId="43" fillId="34" borderId="42" xfId="0" applyNumberFormat="1" applyFont="1" applyFill="1" applyBorder="1" applyAlignment="1">
      <alignment horizontal="center"/>
    </xf>
    <xf numFmtId="44" fontId="0" fillId="0" borderId="17" xfId="44" applyFont="1" applyBorder="1" applyAlignment="1">
      <alignment horizontal="center"/>
    </xf>
    <xf numFmtId="44" fontId="0" fillId="0" borderId="17" xfId="44" applyFont="1" applyBorder="1" applyAlignment="1">
      <alignment horizontal="center"/>
    </xf>
    <xf numFmtId="44" fontId="0" fillId="0" borderId="22" xfId="44" applyFont="1" applyBorder="1" applyAlignment="1">
      <alignment horizontal="center"/>
    </xf>
    <xf numFmtId="0" fontId="0" fillId="0" borderId="22" xfId="0" applyBorder="1" applyAlignment="1">
      <alignment horizontal="center"/>
    </xf>
    <xf numFmtId="44" fontId="43" fillId="34" borderId="30" xfId="0" applyNumberFormat="1" applyFont="1" applyFill="1" applyBorder="1" applyAlignment="1">
      <alignment horizontal="center"/>
    </xf>
    <xf numFmtId="44" fontId="0" fillId="0" borderId="12" xfId="44" applyFont="1" applyBorder="1" applyAlignment="1">
      <alignment horizontal="center"/>
    </xf>
    <xf numFmtId="44" fontId="0" fillId="0" borderId="13" xfId="0" applyNumberFormat="1" applyBorder="1" applyAlignment="1">
      <alignment horizontal="center"/>
    </xf>
    <xf numFmtId="44" fontId="43" fillId="34" borderId="14" xfId="0" applyNumberFormat="1" applyFont="1" applyFill="1" applyBorder="1" applyAlignment="1">
      <alignment horizontal="center"/>
    </xf>
    <xf numFmtId="44" fontId="43" fillId="34" borderId="16" xfId="0" applyNumberFormat="1" applyFont="1" applyFill="1" applyBorder="1" applyAlignment="1">
      <alignment horizontal="center"/>
    </xf>
    <xf numFmtId="44" fontId="0" fillId="0" borderId="19" xfId="44" applyFont="1" applyBorder="1" applyAlignment="1">
      <alignment horizontal="center"/>
    </xf>
    <xf numFmtId="44" fontId="0" fillId="0" borderId="20" xfId="0" applyNumberFormat="1" applyBorder="1" applyAlignment="1">
      <alignment horizontal="center"/>
    </xf>
    <xf numFmtId="44" fontId="0" fillId="0" borderId="19" xfId="0" applyNumberFormat="1" applyBorder="1" applyAlignment="1">
      <alignment horizontal="center"/>
    </xf>
    <xf numFmtId="0" fontId="0" fillId="0" borderId="43" xfId="0" applyBorder="1" applyAlignment="1">
      <alignment horizontal="center"/>
    </xf>
    <xf numFmtId="0" fontId="0" fillId="0" borderId="44" xfId="0" applyBorder="1" applyAlignment="1">
      <alignment horizontal="center"/>
    </xf>
    <xf numFmtId="0" fontId="43" fillId="34" borderId="45" xfId="0" applyFont="1" applyFill="1" applyBorder="1" applyAlignment="1">
      <alignment horizontal="center"/>
    </xf>
    <xf numFmtId="0" fontId="0" fillId="0" borderId="19" xfId="0" applyBorder="1" applyAlignment="1">
      <alignment horizontal="center"/>
    </xf>
    <xf numFmtId="0" fontId="0" fillId="0" borderId="20" xfId="0" applyBorder="1" applyAlignment="1">
      <alignment horizontal="center"/>
    </xf>
    <xf numFmtId="171" fontId="0" fillId="33" borderId="0" xfId="0" applyNumberFormat="1" applyFill="1" applyAlignment="1">
      <alignment/>
    </xf>
    <xf numFmtId="0" fontId="0" fillId="0" borderId="46" xfId="42" applyNumberFormat="1" applyFont="1" applyBorder="1" applyAlignment="1">
      <alignment horizontal="center"/>
    </xf>
    <xf numFmtId="0" fontId="0" fillId="0" borderId="47" xfId="42" applyNumberFormat="1" applyFont="1" applyBorder="1" applyAlignment="1">
      <alignment horizontal="center"/>
    </xf>
    <xf numFmtId="0" fontId="0" fillId="0" borderId="48" xfId="0" applyBorder="1" applyAlignment="1">
      <alignment horizontal="center"/>
    </xf>
    <xf numFmtId="0" fontId="0" fillId="0" borderId="19" xfId="0" applyBorder="1" applyAlignment="1">
      <alignment horizontal="center"/>
    </xf>
    <xf numFmtId="0" fontId="0" fillId="0" borderId="20" xfId="0" applyBorder="1" applyAlignment="1">
      <alignment horizontal="center"/>
    </xf>
    <xf numFmtId="0" fontId="0" fillId="0" borderId="47" xfId="0" applyBorder="1" applyAlignment="1">
      <alignment horizontal="center"/>
    </xf>
    <xf numFmtId="0" fontId="43" fillId="0" borderId="49" xfId="0" applyFont="1" applyBorder="1" applyAlignment="1">
      <alignment/>
    </xf>
    <xf numFmtId="0" fontId="0" fillId="0" borderId="50" xfId="0" applyBorder="1" applyAlignment="1">
      <alignment/>
    </xf>
    <xf numFmtId="0" fontId="0" fillId="0" borderId="51" xfId="0" applyBorder="1" applyAlignment="1">
      <alignment/>
    </xf>
    <xf numFmtId="0" fontId="45" fillId="0" borderId="52" xfId="0" applyFont="1" applyBorder="1" applyAlignment="1">
      <alignment horizontal="center" wrapText="1"/>
    </xf>
    <xf numFmtId="0" fontId="46" fillId="33" borderId="53" xfId="0" applyFont="1" applyFill="1" applyBorder="1" applyAlignment="1">
      <alignment vertical="top" wrapText="1"/>
    </xf>
    <xf numFmtId="171" fontId="0" fillId="0" borderId="21" xfId="0" applyNumberFormat="1" applyBorder="1" applyAlignment="1">
      <alignment/>
    </xf>
    <xf numFmtId="2" fontId="0" fillId="0" borderId="19" xfId="42" applyNumberFormat="1" applyFont="1" applyBorder="1" applyAlignment="1">
      <alignment horizontal="center"/>
    </xf>
    <xf numFmtId="2" fontId="0" fillId="0" borderId="20" xfId="42" applyNumberFormat="1" applyFont="1" applyBorder="1" applyAlignment="1">
      <alignment horizontal="center"/>
    </xf>
    <xf numFmtId="171" fontId="0" fillId="0" borderId="0" xfId="0" applyNumberFormat="1" applyAlignment="1">
      <alignment horizontal="center"/>
    </xf>
    <xf numFmtId="172" fontId="0" fillId="0" borderId="0" xfId="0" applyNumberFormat="1" applyAlignment="1">
      <alignment horizontal="center"/>
    </xf>
    <xf numFmtId="2" fontId="0" fillId="0" borderId="0" xfId="0" applyNumberFormat="1" applyAlignment="1">
      <alignment horizontal="center"/>
    </xf>
    <xf numFmtId="0" fontId="0" fillId="0" borderId="0" xfId="0" applyAlignment="1">
      <alignment wrapText="1"/>
    </xf>
    <xf numFmtId="0" fontId="0" fillId="0" borderId="21" xfId="0" applyBorder="1" applyAlignment="1">
      <alignment/>
    </xf>
    <xf numFmtId="0" fontId="0" fillId="0" borderId="21" xfId="0" applyBorder="1" applyAlignment="1">
      <alignment wrapText="1"/>
    </xf>
    <xf numFmtId="0" fontId="0" fillId="0" borderId="25" xfId="0" applyBorder="1" applyAlignment="1">
      <alignment horizontal="center"/>
    </xf>
    <xf numFmtId="0" fontId="0" fillId="0" borderId="45" xfId="0" applyBorder="1" applyAlignment="1">
      <alignment horizontal="center"/>
    </xf>
    <xf numFmtId="0" fontId="0" fillId="0" borderId="51" xfId="0" applyBorder="1" applyAlignment="1">
      <alignment horizontal="center"/>
    </xf>
    <xf numFmtId="0" fontId="44" fillId="0" borderId="0" xfId="0" applyFont="1" applyAlignment="1">
      <alignment/>
    </xf>
    <xf numFmtId="44" fontId="0" fillId="0" borderId="35" xfId="44" applyFont="1" applyBorder="1" applyAlignment="1">
      <alignment horizontal="center"/>
    </xf>
    <xf numFmtId="44" fontId="0" fillId="0" borderId="54" xfId="44" applyFont="1" applyBorder="1" applyAlignment="1">
      <alignment horizontal="center"/>
    </xf>
    <xf numFmtId="44" fontId="0" fillId="0" borderId="48" xfId="44" applyFont="1" applyBorder="1" applyAlignment="1">
      <alignment horizontal="center"/>
    </xf>
    <xf numFmtId="2" fontId="0" fillId="0" borderId="55" xfId="0" applyNumberFormat="1" applyBorder="1" applyAlignment="1">
      <alignment horizontal="center"/>
    </xf>
    <xf numFmtId="44" fontId="0" fillId="0" borderId="55" xfId="44" applyFont="1" applyBorder="1" applyAlignment="1">
      <alignment horizontal="center"/>
    </xf>
    <xf numFmtId="1" fontId="0" fillId="0" borderId="55" xfId="44" applyNumberFormat="1" applyFont="1" applyBorder="1" applyAlignment="1">
      <alignment horizontal="center"/>
    </xf>
    <xf numFmtId="2" fontId="0" fillId="0" borderId="55" xfId="44" applyNumberFormat="1" applyFont="1" applyBorder="1" applyAlignment="1">
      <alignment horizontal="center"/>
    </xf>
    <xf numFmtId="44" fontId="0" fillId="0" borderId="55" xfId="0" applyNumberFormat="1" applyBorder="1" applyAlignment="1">
      <alignment horizontal="center" wrapText="1"/>
    </xf>
    <xf numFmtId="44" fontId="0" fillId="0" borderId="56" xfId="44" applyFont="1" applyBorder="1" applyAlignment="1">
      <alignment horizontal="center"/>
    </xf>
    <xf numFmtId="44" fontId="0" fillId="0" borderId="28" xfId="44" applyFont="1" applyBorder="1" applyAlignment="1">
      <alignment horizontal="center"/>
    </xf>
    <xf numFmtId="44" fontId="0" fillId="0" borderId="48" xfId="0" applyNumberFormat="1" applyBorder="1" applyAlignment="1">
      <alignment horizontal="center"/>
    </xf>
    <xf numFmtId="44" fontId="0" fillId="0" borderId="57" xfId="0" applyNumberFormat="1" applyBorder="1" applyAlignment="1">
      <alignment horizontal="center"/>
    </xf>
    <xf numFmtId="44" fontId="0" fillId="0" borderId="58" xfId="0" applyNumberFormat="1" applyBorder="1" applyAlignment="1">
      <alignment horizontal="center"/>
    </xf>
    <xf numFmtId="2" fontId="0" fillId="0" borderId="59" xfId="0" applyNumberFormat="1" applyBorder="1" applyAlignment="1">
      <alignment horizontal="center"/>
    </xf>
    <xf numFmtId="171" fontId="0" fillId="0" borderId="59" xfId="0" applyNumberFormat="1" applyBorder="1" applyAlignment="1">
      <alignment horizontal="center"/>
    </xf>
    <xf numFmtId="44" fontId="0" fillId="0" borderId="14" xfId="44" applyFont="1" applyBorder="1" applyAlignment="1">
      <alignment horizontal="center"/>
    </xf>
    <xf numFmtId="44" fontId="0" fillId="0" borderId="15" xfId="44" applyFont="1" applyBorder="1" applyAlignment="1">
      <alignment horizontal="center"/>
    </xf>
    <xf numFmtId="44" fontId="0" fillId="0" borderId="16" xfId="44" applyFont="1" applyBorder="1" applyAlignment="1">
      <alignment horizontal="center"/>
    </xf>
    <xf numFmtId="2" fontId="0" fillId="0" borderId="29" xfId="0" applyNumberFormat="1" applyBorder="1" applyAlignment="1">
      <alignment horizontal="center"/>
    </xf>
    <xf numFmtId="44" fontId="0" fillId="0" borderId="29" xfId="44" applyFont="1" applyBorder="1" applyAlignment="1">
      <alignment horizontal="center"/>
    </xf>
    <xf numFmtId="1" fontId="0" fillId="0" borderId="29" xfId="44" applyNumberFormat="1" applyFont="1" applyBorder="1" applyAlignment="1">
      <alignment horizontal="center"/>
    </xf>
    <xf numFmtId="2" fontId="0" fillId="0" borderId="29" xfId="44" applyNumberFormat="1" applyFont="1" applyBorder="1" applyAlignment="1">
      <alignment horizontal="center"/>
    </xf>
    <xf numFmtId="44" fontId="0" fillId="0" borderId="29" xfId="0" applyNumberFormat="1" applyBorder="1" applyAlignment="1">
      <alignment horizontal="center" wrapText="1"/>
    </xf>
    <xf numFmtId="2" fontId="0" fillId="0" borderId="30" xfId="0" applyNumberFormat="1" applyBorder="1" applyAlignment="1">
      <alignment horizontal="center" wrapText="1"/>
    </xf>
    <xf numFmtId="44" fontId="0" fillId="0" borderId="30" xfId="44" applyFont="1" applyBorder="1" applyAlignment="1">
      <alignment horizontal="center"/>
    </xf>
    <xf numFmtId="44" fontId="0" fillId="0" borderId="16" xfId="0" applyNumberFormat="1" applyBorder="1" applyAlignment="1">
      <alignment horizontal="center"/>
    </xf>
    <xf numFmtId="44" fontId="0" fillId="0" borderId="14" xfId="0" applyNumberFormat="1" applyBorder="1" applyAlignment="1">
      <alignment horizontal="center"/>
    </xf>
    <xf numFmtId="0" fontId="0" fillId="0" borderId="59" xfId="0" applyBorder="1" applyAlignment="1">
      <alignment horizontal="center"/>
    </xf>
    <xf numFmtId="0" fontId="43" fillId="34" borderId="51" xfId="0" applyFont="1" applyFill="1" applyBorder="1" applyAlignment="1">
      <alignment horizontal="center"/>
    </xf>
    <xf numFmtId="44" fontId="43" fillId="34" borderId="51" xfId="0" applyNumberFormat="1" applyFont="1" applyFill="1" applyBorder="1" applyAlignment="1">
      <alignment horizontal="center"/>
    </xf>
    <xf numFmtId="0" fontId="43" fillId="34" borderId="26" xfId="0" applyFont="1" applyFill="1" applyBorder="1" applyAlignment="1">
      <alignment horizontal="center"/>
    </xf>
    <xf numFmtId="44" fontId="43" fillId="34" borderId="26" xfId="44" applyFont="1" applyFill="1" applyBorder="1" applyAlignment="1">
      <alignment horizontal="center"/>
    </xf>
    <xf numFmtId="2" fontId="43" fillId="34" borderId="26" xfId="0" applyNumberFormat="1" applyFont="1" applyFill="1" applyBorder="1" applyAlignment="1">
      <alignment horizontal="center"/>
    </xf>
    <xf numFmtId="44" fontId="43" fillId="34" borderId="26" xfId="0" applyNumberFormat="1" applyFont="1" applyFill="1" applyBorder="1" applyAlignment="1">
      <alignment horizontal="center"/>
    </xf>
    <xf numFmtId="44" fontId="43" fillId="34" borderId="60" xfId="0" applyNumberFormat="1" applyFont="1" applyFill="1" applyBorder="1" applyAlignment="1">
      <alignment horizontal="center"/>
    </xf>
    <xf numFmtId="44" fontId="43" fillId="34" borderId="61" xfId="0" applyNumberFormat="1" applyFont="1" applyFill="1" applyBorder="1" applyAlignment="1">
      <alignment horizontal="center"/>
    </xf>
    <xf numFmtId="0" fontId="0" fillId="0" borderId="58" xfId="0" applyBorder="1" applyAlignment="1">
      <alignment horizontal="center"/>
    </xf>
    <xf numFmtId="0" fontId="0" fillId="0" borderId="19" xfId="0" applyBorder="1" applyAlignment="1">
      <alignment horizontal="center"/>
    </xf>
    <xf numFmtId="0" fontId="45" fillId="0" borderId="62" xfId="0" applyFont="1" applyBorder="1" applyAlignment="1">
      <alignment horizontal="center" wrapText="1"/>
    </xf>
    <xf numFmtId="0" fontId="0" fillId="0" borderId="19" xfId="0" applyBorder="1" applyAlignment="1">
      <alignment horizontal="center"/>
    </xf>
    <xf numFmtId="0" fontId="0" fillId="0" borderId="20" xfId="0" applyBorder="1" applyAlignment="1">
      <alignment horizontal="center"/>
    </xf>
    <xf numFmtId="2" fontId="0" fillId="0" borderId="31" xfId="0" applyNumberFormat="1" applyBorder="1" applyAlignment="1">
      <alignment horizontal="center"/>
    </xf>
    <xf numFmtId="171" fontId="0" fillId="0" borderId="31" xfId="0" applyNumberFormat="1" applyBorder="1" applyAlignment="1">
      <alignment horizontal="center"/>
    </xf>
    <xf numFmtId="0" fontId="43" fillId="0" borderId="41" xfId="0" applyFont="1" applyBorder="1" applyAlignment="1">
      <alignment horizontal="left" vertical="center" wrapText="1"/>
    </xf>
    <xf numFmtId="0" fontId="43" fillId="0" borderId="38" xfId="0" applyFont="1" applyBorder="1" applyAlignment="1">
      <alignment horizontal="left" vertical="center" wrapText="1"/>
    </xf>
    <xf numFmtId="0" fontId="43" fillId="0" borderId="42" xfId="0" applyFont="1" applyBorder="1" applyAlignment="1">
      <alignment horizontal="left" vertical="center" wrapText="1"/>
    </xf>
    <xf numFmtId="0" fontId="43" fillId="0" borderId="10" xfId="0" applyFont="1" applyBorder="1" applyAlignment="1">
      <alignment horizontal="center" wrapText="1"/>
    </xf>
    <xf numFmtId="0" fontId="0" fillId="0" borderId="10" xfId="0" applyFont="1" applyFill="1" applyBorder="1" applyAlignment="1">
      <alignment vertical="top" wrapText="1"/>
    </xf>
    <xf numFmtId="171" fontId="0" fillId="33" borderId="21" xfId="0" applyNumberFormat="1" applyFill="1" applyBorder="1" applyAlignment="1">
      <alignment/>
    </xf>
    <xf numFmtId="0" fontId="48" fillId="0" borderId="0" xfId="0" applyFont="1" applyAlignment="1">
      <alignment/>
    </xf>
    <xf numFmtId="0" fontId="47" fillId="34" borderId="27" xfId="0" applyFont="1" applyFill="1" applyBorder="1" applyAlignment="1">
      <alignment wrapText="1"/>
    </xf>
    <xf numFmtId="39" fontId="47" fillId="34" borderId="26" xfId="42" applyNumberFormat="1" applyFont="1" applyFill="1" applyBorder="1" applyAlignment="1">
      <alignment horizontal="center" vertical="center"/>
    </xf>
    <xf numFmtId="0" fontId="0" fillId="0" borderId="0" xfId="0" applyBorder="1" applyAlignment="1">
      <alignment/>
    </xf>
    <xf numFmtId="0" fontId="0" fillId="0" borderId="63" xfId="0" applyBorder="1" applyAlignment="1">
      <alignment/>
    </xf>
    <xf numFmtId="0" fontId="0" fillId="0" borderId="64" xfId="0" applyBorder="1" applyAlignment="1">
      <alignment horizontal="right"/>
    </xf>
    <xf numFmtId="0" fontId="43" fillId="0" borderId="64" xfId="0" applyFont="1" applyBorder="1" applyAlignment="1">
      <alignment horizontal="right"/>
    </xf>
    <xf numFmtId="0" fontId="0" fillId="0" borderId="65" xfId="0" applyBorder="1" applyAlignment="1">
      <alignment/>
    </xf>
    <xf numFmtId="0" fontId="0" fillId="0" borderId="43" xfId="0" applyBorder="1" applyAlignment="1">
      <alignment/>
    </xf>
    <xf numFmtId="0" fontId="0" fillId="0" borderId="31" xfId="0" applyBorder="1" applyAlignment="1">
      <alignment/>
    </xf>
    <xf numFmtId="0" fontId="0" fillId="0" borderId="63" xfId="0" applyBorder="1" applyAlignment="1">
      <alignment horizontal="right"/>
    </xf>
    <xf numFmtId="0" fontId="0" fillId="0" borderId="54" xfId="0" applyBorder="1" applyAlignment="1">
      <alignment horizontal="right"/>
    </xf>
    <xf numFmtId="0" fontId="0" fillId="0" borderId="66" xfId="0" applyBorder="1" applyAlignment="1">
      <alignment/>
    </xf>
    <xf numFmtId="0" fontId="43" fillId="0" borderId="66" xfId="0" applyFont="1" applyBorder="1" applyAlignment="1">
      <alignment/>
    </xf>
    <xf numFmtId="0" fontId="0" fillId="0" borderId="11" xfId="0" applyBorder="1" applyAlignment="1">
      <alignment/>
    </xf>
    <xf numFmtId="0" fontId="43" fillId="0" borderId="54" xfId="0" applyFont="1" applyBorder="1" applyAlignment="1">
      <alignment horizontal="right"/>
    </xf>
    <xf numFmtId="0" fontId="0" fillId="0" borderId="54" xfId="0" applyBorder="1" applyAlignment="1">
      <alignment/>
    </xf>
    <xf numFmtId="0" fontId="0" fillId="0" borderId="64" xfId="0" applyBorder="1" applyAlignment="1">
      <alignment/>
    </xf>
    <xf numFmtId="0" fontId="43" fillId="0" borderId="43" xfId="0" applyFont="1" applyBorder="1" applyAlignment="1">
      <alignment/>
    </xf>
    <xf numFmtId="0" fontId="43" fillId="0" borderId="54" xfId="0" applyFont="1" applyBorder="1" applyAlignment="1">
      <alignment/>
    </xf>
    <xf numFmtId="0" fontId="0" fillId="0" borderId="44" xfId="0" applyBorder="1" applyAlignment="1">
      <alignment/>
    </xf>
    <xf numFmtId="0" fontId="0" fillId="0" borderId="67" xfId="0" applyBorder="1" applyAlignment="1">
      <alignment/>
    </xf>
    <xf numFmtId="0" fontId="0" fillId="0" borderId="68" xfId="0" applyBorder="1" applyAlignment="1">
      <alignment/>
    </xf>
    <xf numFmtId="0" fontId="0" fillId="0" borderId="20" xfId="0" applyBorder="1" applyAlignment="1">
      <alignment horizontal="center"/>
    </xf>
    <xf numFmtId="0" fontId="0" fillId="0" borderId="19" xfId="0" applyBorder="1" applyAlignment="1">
      <alignment horizontal="center"/>
    </xf>
    <xf numFmtId="0" fontId="0" fillId="0" borderId="20" xfId="0" applyBorder="1" applyAlignment="1">
      <alignment horizontal="center"/>
    </xf>
    <xf numFmtId="0" fontId="43" fillId="0" borderId="69" xfId="0" applyFont="1" applyBorder="1" applyAlignment="1">
      <alignment/>
    </xf>
    <xf numFmtId="0" fontId="43" fillId="0" borderId="33" xfId="0" applyFont="1" applyBorder="1" applyAlignment="1">
      <alignment/>
    </xf>
    <xf numFmtId="0" fontId="43" fillId="0" borderId="70" xfId="0" applyFont="1" applyBorder="1" applyAlignment="1">
      <alignment/>
    </xf>
    <xf numFmtId="0" fontId="25" fillId="0" borderId="0" xfId="0" applyFont="1" applyAlignment="1">
      <alignment/>
    </xf>
    <xf numFmtId="0" fontId="43" fillId="0" borderId="65" xfId="0" applyFont="1" applyBorder="1" applyAlignment="1">
      <alignment/>
    </xf>
    <xf numFmtId="0" fontId="43" fillId="0" borderId="68" xfId="0" applyFont="1" applyBorder="1" applyAlignment="1">
      <alignment/>
    </xf>
    <xf numFmtId="0" fontId="43" fillId="0" borderId="69" xfId="0" applyFont="1" applyFill="1" applyBorder="1" applyAlignment="1">
      <alignment/>
    </xf>
    <xf numFmtId="0" fontId="0" fillId="0" borderId="69" xfId="0" applyBorder="1" applyAlignment="1">
      <alignment/>
    </xf>
    <xf numFmtId="0" fontId="0" fillId="33" borderId="33" xfId="0" applyFill="1" applyBorder="1" applyAlignment="1">
      <alignment/>
    </xf>
    <xf numFmtId="44" fontId="0" fillId="0" borderId="33" xfId="44" applyFont="1" applyBorder="1" applyAlignment="1">
      <alignment horizontal="center"/>
    </xf>
    <xf numFmtId="0" fontId="0" fillId="0" borderId="35" xfId="0" applyBorder="1" applyAlignment="1">
      <alignment horizontal="center" wrapText="1"/>
    </xf>
    <xf numFmtId="0" fontId="0" fillId="0" borderId="57" xfId="0" applyBorder="1" applyAlignment="1">
      <alignment horizontal="center"/>
    </xf>
    <xf numFmtId="0" fontId="0" fillId="0" borderId="35" xfId="42" applyNumberFormat="1" applyFont="1" applyBorder="1" applyAlignment="1">
      <alignment horizontal="center"/>
    </xf>
    <xf numFmtId="0" fontId="0" fillId="0" borderId="48" xfId="42" applyNumberFormat="1" applyFont="1" applyBorder="1" applyAlignment="1">
      <alignment horizontal="center"/>
    </xf>
    <xf numFmtId="177" fontId="47" fillId="33" borderId="26" xfId="0" applyNumberFormat="1" applyFont="1" applyFill="1" applyBorder="1" applyAlignment="1">
      <alignment/>
    </xf>
    <xf numFmtId="0" fontId="0" fillId="0" borderId="47" xfId="0" applyBorder="1" applyAlignment="1">
      <alignment horizontal="center"/>
    </xf>
    <xf numFmtId="0" fontId="0" fillId="0" borderId="46" xfId="0" applyBorder="1" applyAlignment="1">
      <alignment horizontal="center"/>
    </xf>
    <xf numFmtId="0" fontId="0" fillId="0" borderId="19" xfId="0" applyBorder="1" applyAlignment="1">
      <alignment horizontal="center"/>
    </xf>
    <xf numFmtId="0" fontId="0" fillId="0" borderId="11" xfId="0" applyBorder="1" applyAlignment="1">
      <alignment horizontal="center"/>
    </xf>
    <xf numFmtId="0" fontId="0" fillId="0" borderId="20" xfId="0" applyBorder="1" applyAlignment="1">
      <alignment horizontal="center"/>
    </xf>
    <xf numFmtId="0" fontId="0" fillId="0" borderId="14" xfId="0" applyBorder="1" applyAlignment="1">
      <alignment horizontal="center" wrapText="1"/>
    </xf>
    <xf numFmtId="0" fontId="0" fillId="0" borderId="0" xfId="0" applyAlignment="1">
      <alignment horizontal="center"/>
    </xf>
    <xf numFmtId="0" fontId="0" fillId="9" borderId="0" xfId="0" applyFill="1" applyAlignment="1">
      <alignment horizontal="left" wrapText="1"/>
    </xf>
    <xf numFmtId="0" fontId="0" fillId="0" borderId="0" xfId="0" applyAlignment="1">
      <alignment horizontal="left" wrapText="1"/>
    </xf>
    <xf numFmtId="0" fontId="0" fillId="3" borderId="0" xfId="0" applyFill="1" applyAlignment="1">
      <alignment horizontal="left" wrapText="1"/>
    </xf>
    <xf numFmtId="0" fontId="31" fillId="0" borderId="0" xfId="46" applyAlignment="1">
      <alignment horizontal="left" wrapText="1"/>
    </xf>
    <xf numFmtId="44" fontId="0" fillId="0" borderId="26" xfId="44" applyFont="1" applyBorder="1" applyAlignment="1">
      <alignment horizontal="center"/>
    </xf>
    <xf numFmtId="0" fontId="0" fillId="0" borderId="34" xfId="0" applyBorder="1" applyAlignment="1">
      <alignment horizontal="center" wrapText="1"/>
    </xf>
    <xf numFmtId="44" fontId="0" fillId="0" borderId="24" xfId="44" applyFont="1" applyBorder="1" applyAlignment="1">
      <alignment horizontal="center"/>
    </xf>
    <xf numFmtId="44" fontId="0" fillId="0" borderId="71" xfId="44" applyFont="1" applyBorder="1" applyAlignment="1">
      <alignment horizontal="center"/>
    </xf>
    <xf numFmtId="44" fontId="43" fillId="34" borderId="25" xfId="44" applyFont="1" applyFill="1" applyBorder="1" applyAlignment="1">
      <alignment horizontal="center"/>
    </xf>
    <xf numFmtId="44" fontId="0" fillId="0" borderId="68" xfId="44" applyFont="1" applyBorder="1" applyAlignment="1">
      <alignment horizontal="center"/>
    </xf>
    <xf numFmtId="44" fontId="0" fillId="0" borderId="69" xfId="44" applyFont="1" applyBorder="1" applyAlignment="1">
      <alignment horizontal="center"/>
    </xf>
    <xf numFmtId="44" fontId="0" fillId="0" borderId="32" xfId="44" applyFont="1" applyBorder="1" applyAlignment="1">
      <alignment horizontal="center"/>
    </xf>
    <xf numFmtId="44" fontId="43" fillId="34" borderId="72" xfId="0" applyNumberFormat="1" applyFont="1" applyFill="1" applyBorder="1" applyAlignment="1">
      <alignment horizontal="center"/>
    </xf>
    <xf numFmtId="44" fontId="0" fillId="0" borderId="46" xfId="44" applyFont="1" applyBorder="1" applyAlignment="1">
      <alignment horizontal="center"/>
    </xf>
    <xf numFmtId="44" fontId="0" fillId="0" borderId="47" xfId="0" applyNumberFormat="1" applyBorder="1" applyAlignment="1">
      <alignment horizontal="center"/>
    </xf>
    <xf numFmtId="0" fontId="0" fillId="0" borderId="73" xfId="0" applyBorder="1" applyAlignment="1">
      <alignment horizontal="center"/>
    </xf>
    <xf numFmtId="0" fontId="0" fillId="0" borderId="18" xfId="0" applyBorder="1" applyAlignment="1">
      <alignment horizontal="center"/>
    </xf>
    <xf numFmtId="0" fontId="0" fillId="0" borderId="60" xfId="0" applyBorder="1" applyAlignment="1">
      <alignment horizontal="center"/>
    </xf>
    <xf numFmtId="0" fontId="0" fillId="0" borderId="54" xfId="0" applyBorder="1" applyAlignment="1">
      <alignment horizontal="center"/>
    </xf>
    <xf numFmtId="44" fontId="43" fillId="34" borderId="74" xfId="0" applyNumberFormat="1" applyFont="1" applyFill="1" applyBorder="1" applyAlignment="1">
      <alignment horizontal="center"/>
    </xf>
    <xf numFmtId="44" fontId="0" fillId="0" borderId="75" xfId="44" applyFont="1" applyBorder="1" applyAlignment="1">
      <alignment horizontal="center"/>
    </xf>
    <xf numFmtId="44" fontId="0" fillId="0" borderId="47" xfId="44" applyFont="1" applyBorder="1" applyAlignment="1">
      <alignment horizontal="center"/>
    </xf>
    <xf numFmtId="2" fontId="0" fillId="0" borderId="73" xfId="0" applyNumberFormat="1" applyBorder="1" applyAlignment="1">
      <alignment horizontal="center"/>
    </xf>
    <xf numFmtId="2" fontId="0" fillId="0" borderId="51" xfId="0" applyNumberFormat="1" applyBorder="1" applyAlignment="1">
      <alignment horizontal="center"/>
    </xf>
    <xf numFmtId="2" fontId="0" fillId="0" borderId="67" xfId="0" applyNumberFormat="1" applyBorder="1" applyAlignment="1">
      <alignment horizontal="center"/>
    </xf>
    <xf numFmtId="171" fontId="0" fillId="0" borderId="67" xfId="0" applyNumberFormat="1" applyBorder="1" applyAlignment="1">
      <alignment horizontal="center"/>
    </xf>
    <xf numFmtId="2" fontId="0" fillId="0" borderId="76" xfId="0" applyNumberFormat="1" applyBorder="1" applyAlignment="1">
      <alignment horizontal="center"/>
    </xf>
    <xf numFmtId="44" fontId="0" fillId="0" borderId="76" xfId="44" applyFont="1" applyBorder="1" applyAlignment="1">
      <alignment horizontal="center"/>
    </xf>
    <xf numFmtId="1" fontId="0" fillId="0" borderId="76" xfId="44" applyNumberFormat="1" applyFont="1" applyBorder="1" applyAlignment="1">
      <alignment horizontal="center"/>
    </xf>
    <xf numFmtId="2" fontId="0" fillId="0" borderId="76" xfId="44" applyNumberFormat="1" applyFont="1" applyBorder="1" applyAlignment="1">
      <alignment horizontal="center"/>
    </xf>
    <xf numFmtId="44" fontId="0" fillId="0" borderId="76" xfId="0" applyNumberFormat="1" applyBorder="1" applyAlignment="1">
      <alignment horizontal="center" wrapText="1"/>
    </xf>
    <xf numFmtId="2" fontId="0" fillId="0" borderId="22" xfId="0" applyNumberFormat="1" applyBorder="1" applyAlignment="1">
      <alignment horizontal="center" wrapText="1"/>
    </xf>
    <xf numFmtId="44" fontId="0" fillId="0" borderId="12" xfId="0" applyNumberFormat="1" applyBorder="1" applyAlignment="1">
      <alignment horizontal="center"/>
    </xf>
    <xf numFmtId="0" fontId="0" fillId="0" borderId="67" xfId="0" applyBorder="1" applyAlignment="1">
      <alignment horizontal="center"/>
    </xf>
    <xf numFmtId="0" fontId="0" fillId="0" borderId="61" xfId="0" applyBorder="1" applyAlignment="1">
      <alignment horizontal="center"/>
    </xf>
    <xf numFmtId="2" fontId="0" fillId="0" borderId="45" xfId="0" applyNumberFormat="1" applyBorder="1" applyAlignment="1">
      <alignment horizontal="center"/>
    </xf>
    <xf numFmtId="171" fontId="0" fillId="0" borderId="45" xfId="0" applyNumberFormat="1" applyBorder="1" applyAlignment="1">
      <alignment horizontal="center"/>
    </xf>
    <xf numFmtId="44" fontId="0" fillId="0" borderId="51" xfId="44" applyFont="1" applyBorder="1" applyAlignment="1">
      <alignment horizontal="center"/>
    </xf>
    <xf numFmtId="1" fontId="0" fillId="0" borderId="51" xfId="44" applyNumberFormat="1" applyFont="1" applyBorder="1" applyAlignment="1">
      <alignment horizontal="center"/>
    </xf>
    <xf numFmtId="2" fontId="0" fillId="0" borderId="51" xfId="44" applyNumberFormat="1" applyFont="1" applyBorder="1" applyAlignment="1">
      <alignment horizontal="center"/>
    </xf>
    <xf numFmtId="44" fontId="0" fillId="0" borderId="51" xfId="0" applyNumberFormat="1" applyBorder="1" applyAlignment="1">
      <alignment horizontal="center" wrapText="1"/>
    </xf>
    <xf numFmtId="2" fontId="0" fillId="0" borderId="26" xfId="0" applyNumberFormat="1" applyBorder="1" applyAlignment="1">
      <alignment horizontal="center" wrapText="1"/>
    </xf>
    <xf numFmtId="44" fontId="0" fillId="0" borderId="60" xfId="0" applyNumberFormat="1" applyBorder="1" applyAlignment="1">
      <alignment horizontal="center"/>
    </xf>
    <xf numFmtId="44" fontId="0" fillId="0" borderId="61" xfId="0" applyNumberFormat="1" applyBorder="1" applyAlignment="1">
      <alignment horizontal="center"/>
    </xf>
    <xf numFmtId="0" fontId="37" fillId="0" borderId="0" xfId="53" applyAlignment="1" applyProtection="1">
      <alignment/>
      <protection/>
    </xf>
    <xf numFmtId="177" fontId="47" fillId="34" borderId="26" xfId="0" applyNumberFormat="1" applyFont="1" applyFill="1" applyBorder="1" applyAlignment="1">
      <alignment/>
    </xf>
    <xf numFmtId="0" fontId="43" fillId="0" borderId="45" xfId="0" applyFont="1" applyBorder="1" applyAlignment="1">
      <alignment/>
    </xf>
    <xf numFmtId="0" fontId="0" fillId="0" borderId="0" xfId="0" applyAlignment="1">
      <alignment wrapText="1"/>
    </xf>
    <xf numFmtId="0" fontId="43" fillId="0" borderId="54" xfId="0" applyFont="1" applyBorder="1" applyAlignment="1">
      <alignment/>
    </xf>
    <xf numFmtId="0" fontId="0" fillId="0" borderId="67" xfId="0" applyBorder="1" applyAlignment="1">
      <alignment/>
    </xf>
    <xf numFmtId="0" fontId="0" fillId="0" borderId="68" xfId="0" applyBorder="1" applyAlignment="1">
      <alignment/>
    </xf>
    <xf numFmtId="0" fontId="0" fillId="0" borderId="21" xfId="0" applyBorder="1" applyAlignment="1">
      <alignment horizontal="left" vertical="top" wrapText="1"/>
    </xf>
    <xf numFmtId="0" fontId="0" fillId="0" borderId="21" xfId="0" applyBorder="1" applyAlignment="1">
      <alignment horizontal="left" vertical="top"/>
    </xf>
    <xf numFmtId="0" fontId="0" fillId="0" borderId="69" xfId="0" applyBorder="1" applyAlignment="1">
      <alignment/>
    </xf>
    <xf numFmtId="44" fontId="0" fillId="0" borderId="21" xfId="0" applyNumberFormat="1" applyBorder="1" applyAlignment="1">
      <alignment/>
    </xf>
    <xf numFmtId="44" fontId="0" fillId="3" borderId="0" xfId="0" applyNumberFormat="1" applyFill="1" applyAlignment="1">
      <alignment horizontal="left" wrapText="1"/>
    </xf>
    <xf numFmtId="182" fontId="0" fillId="0" borderId="21" xfId="44" applyNumberFormat="1" applyFont="1" applyFill="1" applyBorder="1" applyAlignment="1">
      <alignment horizontal="center" vertical="top" wrapText="1"/>
    </xf>
    <xf numFmtId="44" fontId="0" fillId="0" borderId="21" xfId="44" applyNumberFormat="1" applyFont="1" applyBorder="1" applyAlignment="1">
      <alignment/>
    </xf>
    <xf numFmtId="44" fontId="0" fillId="0" borderId="21" xfId="44" applyFont="1" applyBorder="1" applyAlignment="1">
      <alignment/>
    </xf>
    <xf numFmtId="44" fontId="0" fillId="0" borderId="11" xfId="44" applyFont="1" applyBorder="1" applyAlignment="1">
      <alignment/>
    </xf>
    <xf numFmtId="0" fontId="0" fillId="35" borderId="67" xfId="0" applyFill="1" applyBorder="1" applyAlignment="1">
      <alignment/>
    </xf>
    <xf numFmtId="0" fontId="0" fillId="35" borderId="64" xfId="0" applyFill="1" applyBorder="1" applyAlignment="1">
      <alignment/>
    </xf>
    <xf numFmtId="0" fontId="0" fillId="0" borderId="13" xfId="0" applyFill="1" applyBorder="1" applyAlignment="1">
      <alignment horizontal="center" vertical="center"/>
    </xf>
    <xf numFmtId="0" fontId="43" fillId="0" borderId="68" xfId="0" applyFont="1" applyBorder="1" applyAlignment="1">
      <alignment horizontal="center" vertical="center" wrapText="1"/>
    </xf>
    <xf numFmtId="0" fontId="0" fillId="35" borderId="77" xfId="0" applyFill="1" applyBorder="1" applyAlignment="1">
      <alignment/>
    </xf>
    <xf numFmtId="0" fontId="0" fillId="35" borderId="76" xfId="0" applyFill="1" applyBorder="1" applyAlignment="1">
      <alignment/>
    </xf>
    <xf numFmtId="0" fontId="0" fillId="0" borderId="77" xfId="0" applyBorder="1" applyAlignment="1">
      <alignment/>
    </xf>
    <xf numFmtId="0" fontId="0" fillId="0" borderId="76" xfId="0" applyBorder="1" applyAlignment="1">
      <alignment/>
    </xf>
    <xf numFmtId="0" fontId="0" fillId="0" borderId="78" xfId="0" applyBorder="1" applyAlignment="1">
      <alignment/>
    </xf>
    <xf numFmtId="182" fontId="0" fillId="0" borderId="13" xfId="44" applyNumberFormat="1" applyFont="1" applyBorder="1" applyAlignment="1">
      <alignment horizontal="center"/>
    </xf>
    <xf numFmtId="44" fontId="0" fillId="0" borderId="13" xfId="44" applyNumberFormat="1" applyFont="1" applyBorder="1" applyAlignment="1">
      <alignment/>
    </xf>
    <xf numFmtId="0" fontId="0" fillId="35" borderId="78" xfId="0" applyFill="1" applyBorder="1" applyAlignment="1">
      <alignment/>
    </xf>
    <xf numFmtId="44" fontId="0" fillId="0" borderId="20" xfId="44" applyFont="1" applyBorder="1" applyAlignment="1">
      <alignment/>
    </xf>
    <xf numFmtId="44" fontId="0" fillId="0" borderId="13" xfId="44" applyFont="1" applyBorder="1" applyAlignment="1">
      <alignment/>
    </xf>
    <xf numFmtId="0" fontId="0" fillId="0" borderId="71" xfId="0" applyBorder="1" applyAlignment="1">
      <alignment/>
    </xf>
    <xf numFmtId="0" fontId="0" fillId="0" borderId="32" xfId="0" applyBorder="1" applyAlignment="1">
      <alignment/>
    </xf>
    <xf numFmtId="44" fontId="0" fillId="0" borderId="15" xfId="44" applyFont="1" applyBorder="1" applyAlignment="1">
      <alignment/>
    </xf>
    <xf numFmtId="44" fontId="0" fillId="0" borderId="16" xfId="44" applyFont="1" applyBorder="1" applyAlignment="1">
      <alignment/>
    </xf>
    <xf numFmtId="0" fontId="0" fillId="35" borderId="34" xfId="0" applyFill="1" applyBorder="1" applyAlignment="1">
      <alignment/>
    </xf>
    <xf numFmtId="0" fontId="0" fillId="35" borderId="31" xfId="0" applyFill="1" applyBorder="1" applyAlignment="1">
      <alignment/>
    </xf>
    <xf numFmtId="0" fontId="0" fillId="35" borderId="18" xfId="0" applyFill="1" applyBorder="1" applyAlignment="1">
      <alignment/>
    </xf>
    <xf numFmtId="0" fontId="43" fillId="0" borderId="38" xfId="0" applyFont="1" applyBorder="1" applyAlignment="1">
      <alignment horizontal="center" vertical="center" wrapText="1"/>
    </xf>
    <xf numFmtId="0" fontId="43" fillId="0" borderId="42" xfId="0" applyFont="1" applyBorder="1" applyAlignment="1">
      <alignment horizontal="center" vertical="center" wrapText="1"/>
    </xf>
    <xf numFmtId="0" fontId="46" fillId="0" borderId="53" xfId="0" applyFont="1" applyBorder="1" applyAlignment="1">
      <alignment vertical="top" wrapText="1"/>
    </xf>
    <xf numFmtId="0" fontId="46" fillId="0" borderId="79" xfId="0" applyFont="1" applyBorder="1" applyAlignment="1">
      <alignment vertical="top" wrapText="1"/>
    </xf>
    <xf numFmtId="0" fontId="46" fillId="0" borderId="80" xfId="0" applyFont="1" applyBorder="1" applyAlignment="1">
      <alignment vertical="top" wrapText="1"/>
    </xf>
    <xf numFmtId="0" fontId="45" fillId="0" borderId="53" xfId="0" applyFont="1" applyBorder="1" applyAlignment="1">
      <alignment horizontal="center" vertical="top" wrapText="1"/>
    </xf>
    <xf numFmtId="0" fontId="45" fillId="0" borderId="79" xfId="0" applyFont="1" applyBorder="1" applyAlignment="1">
      <alignment horizontal="center" vertical="top" wrapText="1"/>
    </xf>
    <xf numFmtId="0" fontId="45" fillId="0" borderId="80" xfId="0" applyFont="1" applyBorder="1" applyAlignment="1">
      <alignment horizontal="center" vertical="top" wrapText="1"/>
    </xf>
    <xf numFmtId="0" fontId="45" fillId="0" borderId="62" xfId="0" applyFont="1" applyBorder="1" applyAlignment="1">
      <alignment horizontal="center" wrapText="1"/>
    </xf>
    <xf numFmtId="0" fontId="45" fillId="0" borderId="81" xfId="0" applyFont="1" applyBorder="1" applyAlignment="1">
      <alignment horizontal="center" wrapText="1"/>
    </xf>
    <xf numFmtId="0" fontId="45" fillId="0" borderId="53" xfId="0" applyFont="1" applyBorder="1" applyAlignment="1">
      <alignment horizontal="center" wrapText="1"/>
    </xf>
    <xf numFmtId="0" fontId="45" fillId="0" borderId="79" xfId="0" applyFont="1" applyBorder="1" applyAlignment="1">
      <alignment horizontal="center" wrapText="1"/>
    </xf>
    <xf numFmtId="0" fontId="45" fillId="0" borderId="80" xfId="0" applyFont="1" applyBorder="1" applyAlignment="1">
      <alignment horizontal="center" wrapText="1"/>
    </xf>
    <xf numFmtId="0" fontId="43" fillId="0" borderId="36" xfId="0" applyFont="1" applyBorder="1" applyAlignment="1">
      <alignment horizontal="left" vertical="center" wrapText="1"/>
    </xf>
    <xf numFmtId="0" fontId="43" fillId="0" borderId="82" xfId="0" applyFont="1" applyBorder="1" applyAlignment="1">
      <alignment horizontal="left" vertical="center" wrapText="1"/>
    </xf>
    <xf numFmtId="0" fontId="37" fillId="0" borderId="68" xfId="53" applyBorder="1" applyAlignment="1" applyProtection="1">
      <alignment horizontal="left" vertical="top"/>
      <protection/>
    </xf>
    <xf numFmtId="0" fontId="0" fillId="0" borderId="46" xfId="0" applyBorder="1" applyAlignment="1">
      <alignment horizontal="center" wrapText="1"/>
    </xf>
    <xf numFmtId="0" fontId="0" fillId="0" borderId="14" xfId="0" applyBorder="1" applyAlignment="1">
      <alignment horizontal="center" wrapText="1"/>
    </xf>
    <xf numFmtId="0" fontId="0" fillId="0" borderId="19" xfId="0" applyBorder="1" applyAlignment="1">
      <alignment horizontal="center"/>
    </xf>
    <xf numFmtId="0" fontId="0" fillId="0" borderId="11" xfId="0" applyBorder="1" applyAlignment="1">
      <alignment horizontal="center"/>
    </xf>
    <xf numFmtId="0" fontId="0" fillId="0" borderId="20" xfId="0" applyBorder="1" applyAlignment="1">
      <alignment horizontal="center"/>
    </xf>
    <xf numFmtId="0" fontId="0" fillId="0" borderId="0" xfId="0" applyAlignment="1">
      <alignment horizontal="center"/>
    </xf>
    <xf numFmtId="0" fontId="0" fillId="0" borderId="28" xfId="0" applyBorder="1" applyAlignment="1">
      <alignment horizontal="center" wrapText="1"/>
    </xf>
    <xf numFmtId="0" fontId="0" fillId="0" borderId="26" xfId="0" applyBorder="1" applyAlignment="1">
      <alignment horizontal="center" wrapText="1"/>
    </xf>
    <xf numFmtId="0" fontId="0" fillId="0" borderId="83" xfId="0" applyBorder="1" applyAlignment="1">
      <alignment horizontal="center"/>
    </xf>
    <xf numFmtId="0" fontId="0" fillId="0" borderId="47" xfId="0" applyBorder="1" applyAlignment="1">
      <alignment horizontal="center"/>
    </xf>
    <xf numFmtId="0" fontId="0" fillId="0" borderId="46" xfId="0" applyBorder="1" applyAlignment="1">
      <alignment horizontal="center"/>
    </xf>
    <xf numFmtId="0" fontId="0" fillId="0" borderId="27" xfId="0" applyBorder="1" applyAlignment="1">
      <alignment horizontal="center" wrapText="1"/>
    </xf>
    <xf numFmtId="0" fontId="0" fillId="0" borderId="28" xfId="0" applyBorder="1" applyAlignment="1">
      <alignment horizontal="center"/>
    </xf>
    <xf numFmtId="0" fontId="0" fillId="0" borderId="26" xfId="0" applyBorder="1" applyAlignment="1">
      <alignment horizontal="center"/>
    </xf>
    <xf numFmtId="0" fontId="0" fillId="36" borderId="36" xfId="0" applyFill="1" applyBorder="1" applyAlignment="1">
      <alignment horizontal="center" vertical="center"/>
    </xf>
    <xf numFmtId="0" fontId="0" fillId="36" borderId="37" xfId="0" applyFill="1" applyBorder="1" applyAlignment="1">
      <alignment horizontal="center" vertical="center"/>
    </xf>
    <xf numFmtId="0" fontId="0" fillId="36" borderId="39" xfId="0" applyFill="1" applyBorder="1" applyAlignment="1">
      <alignment horizontal="center" vertical="center"/>
    </xf>
    <xf numFmtId="0" fontId="0" fillId="33" borderId="23" xfId="0" applyFill="1" applyBorder="1" applyAlignment="1">
      <alignment horizontal="center"/>
    </xf>
    <xf numFmtId="0" fontId="0" fillId="33" borderId="49" xfId="0" applyFill="1" applyBorder="1" applyAlignment="1">
      <alignment horizontal="center"/>
    </xf>
    <xf numFmtId="0" fontId="0" fillId="33" borderId="37" xfId="0" applyFill="1" applyBorder="1" applyAlignment="1">
      <alignment horizontal="center"/>
    </xf>
    <xf numFmtId="0" fontId="0" fillId="33" borderId="39" xfId="0" applyFill="1" applyBorder="1" applyAlignment="1">
      <alignment horizontal="center"/>
    </xf>
    <xf numFmtId="0" fontId="0" fillId="0" borderId="84" xfId="0" applyBorder="1" applyAlignment="1">
      <alignment horizontal="center" wrapText="1"/>
    </xf>
    <xf numFmtId="0" fontId="0" fillId="0" borderId="61" xfId="0" applyBorder="1" applyAlignment="1">
      <alignment horizontal="center" wrapText="1"/>
    </xf>
    <xf numFmtId="0" fontId="0" fillId="0" borderId="23" xfId="0" applyBorder="1" applyAlignment="1">
      <alignment horizontal="center"/>
    </xf>
    <xf numFmtId="0" fontId="0" fillId="0" borderId="49" xfId="0" applyBorder="1" applyAlignment="1">
      <alignment horizontal="center"/>
    </xf>
    <xf numFmtId="0" fontId="0" fillId="0" borderId="50" xfId="0" applyBorder="1" applyAlignment="1">
      <alignment horizontal="center"/>
    </xf>
    <xf numFmtId="0" fontId="0" fillId="36" borderId="85" xfId="0" applyFill="1" applyBorder="1" applyAlignment="1">
      <alignment horizontal="center" wrapText="1"/>
    </xf>
    <xf numFmtId="0" fontId="0" fillId="36" borderId="60" xfId="0" applyFill="1" applyBorder="1" applyAlignment="1">
      <alignment horizontal="center" wrapText="1"/>
    </xf>
    <xf numFmtId="0" fontId="0" fillId="0" borderId="21" xfId="0" applyBorder="1" applyAlignment="1">
      <alignment horizontal="center" vertical="center" wrapText="1"/>
    </xf>
    <xf numFmtId="0" fontId="0" fillId="36" borderId="50" xfId="0" applyFill="1" applyBorder="1" applyAlignment="1">
      <alignment horizontal="center" wrapText="1"/>
    </xf>
    <xf numFmtId="0" fontId="0" fillId="36" borderId="51" xfId="0" applyFill="1" applyBorder="1" applyAlignment="1">
      <alignment horizontal="center" wrapText="1"/>
    </xf>
    <xf numFmtId="0" fontId="0" fillId="33" borderId="36" xfId="0" applyFill="1" applyBorder="1" applyAlignment="1">
      <alignment horizontal="center"/>
    </xf>
    <xf numFmtId="0" fontId="0" fillId="0" borderId="25" xfId="0" applyFill="1" applyBorder="1" applyAlignment="1">
      <alignment horizontal="center"/>
    </xf>
    <xf numFmtId="0" fontId="0" fillId="0" borderId="45" xfId="0" applyFill="1" applyBorder="1" applyAlignment="1">
      <alignment horizontal="center"/>
    </xf>
    <xf numFmtId="0" fontId="0" fillId="0" borderId="51" xfId="0" applyFill="1" applyBorder="1" applyAlignment="1">
      <alignment horizontal="center"/>
    </xf>
    <xf numFmtId="0" fontId="0" fillId="0" borderId="24" xfId="0" applyBorder="1" applyAlignment="1">
      <alignment horizontal="center" wrapText="1"/>
    </xf>
    <xf numFmtId="0" fontId="0" fillId="0" borderId="25" xfId="0" applyBorder="1" applyAlignment="1">
      <alignment horizontal="center" wrapText="1"/>
    </xf>
    <xf numFmtId="0" fontId="0" fillId="36" borderId="86" xfId="0" applyFill="1" applyBorder="1" applyAlignment="1">
      <alignment horizontal="center" wrapText="1"/>
    </xf>
    <xf numFmtId="0" fontId="0" fillId="36" borderId="72" xfId="0" applyFill="1" applyBorder="1" applyAlignment="1">
      <alignment horizontal="center" wrapText="1"/>
    </xf>
    <xf numFmtId="0" fontId="0" fillId="0" borderId="55" xfId="0" applyBorder="1" applyAlignment="1">
      <alignment horizontal="center" wrapText="1"/>
    </xf>
    <xf numFmtId="0" fontId="0" fillId="0" borderId="51" xfId="0" applyBorder="1" applyAlignment="1">
      <alignment horizontal="center" wrapText="1"/>
    </xf>
    <xf numFmtId="0" fontId="0" fillId="0" borderId="87" xfId="0" applyBorder="1" applyAlignment="1">
      <alignment horizontal="center" wrapText="1"/>
    </xf>
    <xf numFmtId="0" fontId="0" fillId="0" borderId="88" xfId="0" applyBorder="1" applyAlignment="1">
      <alignment horizontal="center" wrapText="1"/>
    </xf>
    <xf numFmtId="0" fontId="0" fillId="0" borderId="54" xfId="0" applyBorder="1" applyAlignment="1">
      <alignment horizontal="left" vertical="top" wrapText="1"/>
    </xf>
    <xf numFmtId="0" fontId="0" fillId="0" borderId="66" xfId="0" applyBorder="1" applyAlignment="1">
      <alignment horizontal="left" vertical="top" wrapText="1"/>
    </xf>
    <xf numFmtId="0" fontId="0" fillId="0" borderId="74" xfId="0" applyBorder="1" applyAlignment="1">
      <alignment horizontal="left" vertical="top" wrapText="1"/>
    </xf>
    <xf numFmtId="0" fontId="0" fillId="0" borderId="54" xfId="0" applyFill="1" applyBorder="1" applyAlignment="1">
      <alignment horizontal="left" vertical="top" wrapText="1"/>
    </xf>
    <xf numFmtId="0" fontId="0" fillId="0" borderId="66" xfId="0" applyFill="1" applyBorder="1" applyAlignment="1">
      <alignment horizontal="left" vertical="top" wrapText="1"/>
    </xf>
    <xf numFmtId="0" fontId="0" fillId="0" borderId="74" xfId="0" applyFill="1" applyBorder="1" applyAlignment="1">
      <alignment horizontal="left" vertical="top" wrapText="1"/>
    </xf>
    <xf numFmtId="0" fontId="0" fillId="0" borderId="48" xfId="0" applyFill="1" applyBorder="1" applyAlignment="1">
      <alignment horizontal="center" vertical="center"/>
    </xf>
    <xf numFmtId="0" fontId="0" fillId="0" borderId="58" xfId="0" applyFill="1" applyBorder="1" applyAlignment="1">
      <alignment horizontal="center" vertical="center"/>
    </xf>
    <xf numFmtId="0" fontId="0" fillId="0" borderId="61" xfId="0" applyFill="1" applyBorder="1" applyAlignment="1">
      <alignment horizontal="center" vertical="center"/>
    </xf>
    <xf numFmtId="0" fontId="0" fillId="0" borderId="12" xfId="0" applyBorder="1" applyAlignment="1">
      <alignment horizontal="left" vertical="top" wrapText="1"/>
    </xf>
    <xf numFmtId="0" fontId="0" fillId="0" borderId="14" xfId="0" applyBorder="1" applyAlignment="1">
      <alignment horizontal="left" vertical="top" wrapText="1"/>
    </xf>
    <xf numFmtId="0" fontId="0" fillId="0" borderId="75" xfId="0" applyBorder="1" applyAlignment="1">
      <alignment horizontal="left" vertical="top" wrapText="1"/>
    </xf>
    <xf numFmtId="0" fontId="0" fillId="0" borderId="21" xfId="0" applyBorder="1" applyAlignment="1">
      <alignment horizontal="left" vertical="top" wrapText="1"/>
    </xf>
    <xf numFmtId="0" fontId="0" fillId="0" borderId="13" xfId="0" applyFill="1" applyBorder="1" applyAlignment="1">
      <alignment horizontal="center" vertical="center"/>
    </xf>
    <xf numFmtId="0" fontId="0" fillId="0" borderId="47" xfId="0" applyFill="1" applyBorder="1" applyAlignment="1">
      <alignment horizontal="center" vertical="center"/>
    </xf>
    <xf numFmtId="0" fontId="0" fillId="0" borderId="46" xfId="0" applyBorder="1" applyAlignment="1">
      <alignment horizontal="left" vertical="top" wrapText="1"/>
    </xf>
    <xf numFmtId="0" fontId="0" fillId="0" borderId="75" xfId="0" applyBorder="1" applyAlignment="1">
      <alignment horizontal="left" vertical="top"/>
    </xf>
    <xf numFmtId="0" fontId="0" fillId="0" borderId="21" xfId="0" applyBorder="1" applyAlignment="1">
      <alignment horizontal="left" vertical="top"/>
    </xf>
    <xf numFmtId="0" fontId="43" fillId="0" borderId="53" xfId="0" applyFont="1" applyBorder="1" applyAlignment="1">
      <alignment horizontal="center" vertical="top" wrapText="1"/>
    </xf>
    <xf numFmtId="0" fontId="43" fillId="0" borderId="79" xfId="0" applyFont="1" applyBorder="1" applyAlignment="1">
      <alignment horizontal="center" vertical="top" wrapText="1"/>
    </xf>
    <xf numFmtId="0" fontId="43" fillId="0" borderId="80" xfId="0" applyFont="1" applyBorder="1" applyAlignment="1">
      <alignment horizontal="center" vertical="top" wrapText="1"/>
    </xf>
    <xf numFmtId="0" fontId="43" fillId="0" borderId="62" xfId="0" applyFont="1" applyBorder="1" applyAlignment="1">
      <alignment horizontal="left" wrapText="1"/>
    </xf>
    <xf numFmtId="0" fontId="43" fillId="0" borderId="81" xfId="0" applyFont="1" applyBorder="1" applyAlignment="1">
      <alignment horizontal="left" wrapText="1"/>
    </xf>
    <xf numFmtId="0" fontId="43" fillId="0" borderId="53" xfId="0" applyFont="1" applyBorder="1" applyAlignment="1">
      <alignment horizontal="center" wrapText="1"/>
    </xf>
    <xf numFmtId="0" fontId="43" fillId="0" borderId="79" xfId="0" applyFont="1" applyBorder="1" applyAlignment="1">
      <alignment horizontal="center" wrapText="1"/>
    </xf>
    <xf numFmtId="0" fontId="43" fillId="0" borderId="80" xfId="0" applyFont="1" applyBorder="1" applyAlignment="1">
      <alignment horizont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171450</xdr:colOff>
      <xdr:row>38</xdr:row>
      <xdr:rowOff>114300</xdr:rowOff>
    </xdr:from>
    <xdr:to>
      <xdr:col>21</xdr:col>
      <xdr:colOff>628650</xdr:colOff>
      <xdr:row>44</xdr:row>
      <xdr:rowOff>47625</xdr:rowOff>
    </xdr:to>
    <xdr:sp>
      <xdr:nvSpPr>
        <xdr:cNvPr id="1" name="TextBox 1"/>
        <xdr:cNvSpPr txBox="1">
          <a:spLocks noChangeArrowheads="1"/>
        </xdr:cNvSpPr>
      </xdr:nvSpPr>
      <xdr:spPr>
        <a:xfrm>
          <a:off x="11449050" y="7381875"/>
          <a:ext cx="3676650" cy="12668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8000"/>
              </a:solidFill>
              <a:latin typeface="Calibri"/>
              <a:ea typeface="Calibri"/>
              <a:cs typeface="Calibri"/>
            </a:rPr>
            <a:t>This tab evaluates the permit trucks </a:t>
          </a:r>
          <a:r>
            <a:rPr lang="en-US" cap="none" sz="1100" b="0" i="0" u="none" baseline="0">
              <a:solidFill>
                <a:srgbClr val="008000"/>
              </a:solidFill>
              <a:latin typeface="Calibri"/>
              <a:ea typeface="Calibri"/>
              <a:cs typeface="Calibri"/>
            </a:rPr>
            <a:t>that are using the 4 truck routes  that are not Keith Avenue when Keith Avenue should be used. </a:t>
          </a:r>
          <a:r>
            <a:rPr lang="en-US" cap="none" sz="1100" b="1" i="0" u="none" baseline="0">
              <a:solidFill>
                <a:srgbClr val="008000"/>
              </a:solidFill>
              <a:latin typeface="Calibri"/>
              <a:ea typeface="Calibri"/>
              <a:cs typeface="Calibri"/>
            </a:rPr>
            <a:t>2015 TIGER GRANT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933450</xdr:colOff>
      <xdr:row>38</xdr:row>
      <xdr:rowOff>123825</xdr:rowOff>
    </xdr:from>
    <xdr:to>
      <xdr:col>23</xdr:col>
      <xdr:colOff>371475</xdr:colOff>
      <xdr:row>55</xdr:row>
      <xdr:rowOff>28575</xdr:rowOff>
    </xdr:to>
    <xdr:sp>
      <xdr:nvSpPr>
        <xdr:cNvPr id="1" name="TextBox 1"/>
        <xdr:cNvSpPr txBox="1">
          <a:spLocks noChangeArrowheads="1"/>
        </xdr:cNvSpPr>
      </xdr:nvSpPr>
      <xdr:spPr>
        <a:xfrm>
          <a:off x="11439525" y="7400925"/>
          <a:ext cx="6553200" cy="33337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8000"/>
              </a:solidFill>
              <a:latin typeface="Calibri"/>
              <a:ea typeface="Calibri"/>
              <a:cs typeface="Calibri"/>
            </a:rPr>
            <a:t>This tab evaluates the GROWTH of trucks from the Dundalk port</a:t>
          </a:r>
          <a:r>
            <a:rPr lang="en-US" cap="none" sz="1100" b="0" i="0" u="none" baseline="0">
              <a:solidFill>
                <a:srgbClr val="008000"/>
              </a:solidFill>
              <a:latin typeface="Calibri"/>
              <a:ea typeface="Calibri"/>
              <a:cs typeface="Calibri"/>
            </a:rPr>
            <a:t> </a:t>
          </a:r>
          <a:r>
            <a:rPr lang="en-US" cap="none" sz="1100" b="0" i="0" u="none" baseline="0">
              <a:solidFill>
                <a:srgbClr val="008000"/>
              </a:solidFill>
              <a:latin typeface="Calibri"/>
              <a:ea typeface="Calibri"/>
              <a:cs typeface="Calibri"/>
            </a:rPr>
            <a:t>that would be forced to go around the bridge if it failed,</a:t>
          </a:r>
          <a:r>
            <a:rPr lang="en-US" cap="none" sz="1100" b="0" i="0" u="none" baseline="0">
              <a:solidFill>
                <a:srgbClr val="008000"/>
              </a:solidFill>
              <a:latin typeface="Calibri"/>
              <a:ea typeface="Calibri"/>
              <a:cs typeface="Calibri"/>
            </a:rPr>
            <a:t> including the VMT savings from the alternative longer route and the maintenance/repair costs associated with the old vs new bridge. The existing bridge fails after 9 years.  </a:t>
          </a:r>
          <a:r>
            <a:rPr lang="en-US" cap="none" sz="1100" b="1" i="0" u="none" baseline="0">
              <a:solidFill>
                <a:srgbClr val="008000"/>
              </a:solidFill>
              <a:latin typeface="Calibri"/>
              <a:ea typeface="Calibri"/>
              <a:cs typeface="Calibri"/>
            </a:rPr>
            <a:t>2015 TIGER GRANT</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933450</xdr:colOff>
      <xdr:row>38</xdr:row>
      <xdr:rowOff>123825</xdr:rowOff>
    </xdr:from>
    <xdr:to>
      <xdr:col>23</xdr:col>
      <xdr:colOff>371475</xdr:colOff>
      <xdr:row>55</xdr:row>
      <xdr:rowOff>28575</xdr:rowOff>
    </xdr:to>
    <xdr:sp>
      <xdr:nvSpPr>
        <xdr:cNvPr id="1" name="TextBox 1"/>
        <xdr:cNvSpPr txBox="1">
          <a:spLocks noChangeArrowheads="1"/>
        </xdr:cNvSpPr>
      </xdr:nvSpPr>
      <xdr:spPr>
        <a:xfrm>
          <a:off x="4981575" y="7400925"/>
          <a:ext cx="6553200" cy="33337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8000"/>
              </a:solidFill>
              <a:latin typeface="Calibri"/>
              <a:ea typeface="Calibri"/>
              <a:cs typeface="Calibri"/>
            </a:rPr>
            <a:t>This tab evaluates the maintenance</a:t>
          </a:r>
          <a:r>
            <a:rPr lang="en-US" cap="none" sz="1100" b="0" i="0" u="none" baseline="0">
              <a:solidFill>
                <a:srgbClr val="008000"/>
              </a:solidFill>
              <a:latin typeface="Calibri"/>
              <a:ea typeface="Calibri"/>
              <a:cs typeface="Calibri"/>
            </a:rPr>
            <a:t> and repair costs for the old vs. new joints on Keith Ave.  </a:t>
          </a:r>
          <a:r>
            <a:rPr lang="en-US" cap="none" sz="1100" b="1" i="0" u="none" baseline="0">
              <a:solidFill>
                <a:srgbClr val="008000"/>
              </a:solidFill>
              <a:latin typeface="Calibri"/>
              <a:ea typeface="Calibri"/>
              <a:cs typeface="Calibri"/>
            </a:rPr>
            <a:t>2015 TIGER GRANT</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200025</xdr:colOff>
      <xdr:row>38</xdr:row>
      <xdr:rowOff>152400</xdr:rowOff>
    </xdr:from>
    <xdr:to>
      <xdr:col>24</xdr:col>
      <xdr:colOff>57150</xdr:colOff>
      <xdr:row>54</xdr:row>
      <xdr:rowOff>57150</xdr:rowOff>
    </xdr:to>
    <xdr:sp>
      <xdr:nvSpPr>
        <xdr:cNvPr id="1" name="TextBox 1"/>
        <xdr:cNvSpPr txBox="1">
          <a:spLocks noChangeArrowheads="1"/>
        </xdr:cNvSpPr>
      </xdr:nvSpPr>
      <xdr:spPr>
        <a:xfrm>
          <a:off x="10639425" y="7419975"/>
          <a:ext cx="6553200" cy="33337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8000"/>
              </a:solidFill>
              <a:latin typeface="Calibri"/>
              <a:ea typeface="Calibri"/>
              <a:cs typeface="Calibri"/>
            </a:rPr>
            <a:t>This tab evaluates the COST of rerouting the 50 truck violaters</a:t>
          </a:r>
          <a:r>
            <a:rPr lang="en-US" cap="none" sz="1100" b="0" i="0" u="none" baseline="0">
              <a:solidFill>
                <a:srgbClr val="008000"/>
              </a:solidFill>
              <a:latin typeface="Calibri"/>
              <a:ea typeface="Calibri"/>
              <a:cs typeface="Calibri"/>
            </a:rPr>
            <a:t> on Broening between Holabird and Boston to the longer route of Holabird to Ponca.  </a:t>
          </a:r>
          <a:r>
            <a:rPr lang="en-US" cap="none" sz="1100" b="1" i="0" u="none" baseline="0">
              <a:solidFill>
                <a:srgbClr val="008000"/>
              </a:solidFill>
              <a:latin typeface="Calibri"/>
              <a:ea typeface="Calibri"/>
              <a:cs typeface="Calibri"/>
            </a:rPr>
            <a:t>2015 TIGER GRANT</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609600</xdr:colOff>
      <xdr:row>38</xdr:row>
      <xdr:rowOff>123825</xdr:rowOff>
    </xdr:from>
    <xdr:to>
      <xdr:col>23</xdr:col>
      <xdr:colOff>371475</xdr:colOff>
      <xdr:row>55</xdr:row>
      <xdr:rowOff>28575</xdr:rowOff>
    </xdr:to>
    <xdr:sp>
      <xdr:nvSpPr>
        <xdr:cNvPr id="1" name="TextBox 1"/>
        <xdr:cNvSpPr txBox="1">
          <a:spLocks noChangeArrowheads="1"/>
        </xdr:cNvSpPr>
      </xdr:nvSpPr>
      <xdr:spPr>
        <a:xfrm>
          <a:off x="20259675" y="9077325"/>
          <a:ext cx="4029075" cy="31432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8000"/>
              </a:solidFill>
              <a:latin typeface="Calibri"/>
              <a:ea typeface="Calibri"/>
              <a:cs typeface="Calibri"/>
            </a:rPr>
            <a:t>This tab evaluates the maintenance</a:t>
          </a:r>
          <a:r>
            <a:rPr lang="en-US" cap="none" sz="1100" b="0" i="0" u="none" baseline="0">
              <a:solidFill>
                <a:srgbClr val="008000"/>
              </a:solidFill>
              <a:latin typeface="Calibri"/>
              <a:ea typeface="Calibri"/>
              <a:cs typeface="Calibri"/>
            </a:rPr>
            <a:t> and repair costs for the old vs. new joints on Keith Ave.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fhwa.dot.gov/policy/hcas/addendum.htm"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fhwa.dot.gov/policy/hcas/addendum.htm" TargetMode="External" /><Relationship Id="rId2" Type="http://schemas.openxmlformats.org/officeDocument/2006/relationships/hyperlink" Target="http://www.eia.gov/" TargetMode="External" /><Relationship Id="rId3" Type="http://schemas.openxmlformats.org/officeDocument/2006/relationships/hyperlink" Target="http://greenvalues.cnt.org/national/benefits_detail.php" TargetMode="Externa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greenvalues.cnt.org/national/benefits_detail.php" TargetMode="External" /><Relationship Id="rId2" Type="http://schemas.openxmlformats.org/officeDocument/2006/relationships/comments" Target="../comments8.xml" /><Relationship Id="rId3" Type="http://schemas.openxmlformats.org/officeDocument/2006/relationships/vmlDrawing" Target="../drawings/vmlDrawing1.vml" /><Relationship Id="rId4" Type="http://schemas.openxmlformats.org/officeDocument/2006/relationships/drawing" Target="../drawings/drawing5.xml" /><Relationship Id="rId5"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I87"/>
  <sheetViews>
    <sheetView zoomScalePageLayoutView="0" workbookViewId="0" topLeftCell="A1">
      <selection activeCell="C32" sqref="C32"/>
    </sheetView>
  </sheetViews>
  <sheetFormatPr defaultColWidth="9.140625" defaultRowHeight="15"/>
  <cols>
    <col min="2" max="2" width="20.00390625" style="0" customWidth="1"/>
  </cols>
  <sheetData>
    <row r="2" spans="2:3" ht="15">
      <c r="B2" t="s">
        <v>101</v>
      </c>
      <c r="C2">
        <v>2.31</v>
      </c>
    </row>
    <row r="4" spans="2:8" ht="15">
      <c r="B4" s="181"/>
      <c r="C4" s="187" t="s">
        <v>0</v>
      </c>
      <c r="D4" s="188" t="s">
        <v>1</v>
      </c>
      <c r="E4" s="182" t="s">
        <v>2</v>
      </c>
      <c r="F4" s="188" t="s">
        <v>3</v>
      </c>
      <c r="G4" s="183" t="s">
        <v>14</v>
      </c>
      <c r="H4" s="192" t="s">
        <v>97</v>
      </c>
    </row>
    <row r="5" spans="2:8" ht="15">
      <c r="B5" s="181" t="s">
        <v>7</v>
      </c>
      <c r="C5" s="181">
        <v>240</v>
      </c>
      <c r="D5" s="193">
        <v>71</v>
      </c>
      <c r="E5" s="194">
        <v>126</v>
      </c>
      <c r="F5" s="181">
        <v>176</v>
      </c>
      <c r="G5" s="196">
        <f>SUM(C5:F5)</f>
        <v>613</v>
      </c>
      <c r="H5" s="203"/>
    </row>
    <row r="6" spans="2:8" ht="15">
      <c r="B6" s="185" t="s">
        <v>8</v>
      </c>
      <c r="C6" s="185">
        <v>472</v>
      </c>
      <c r="D6" s="191">
        <v>458</v>
      </c>
      <c r="E6" s="186">
        <v>282</v>
      </c>
      <c r="F6" s="185">
        <v>550</v>
      </c>
      <c r="G6" s="273">
        <f aca="true" t="shared" si="0" ref="G6:G13">SUM(C6:F6)</f>
        <v>1762</v>
      </c>
      <c r="H6" s="204"/>
    </row>
    <row r="7" spans="2:8" ht="15">
      <c r="B7" s="184" t="s">
        <v>9</v>
      </c>
      <c r="C7" s="184">
        <v>480</v>
      </c>
      <c r="D7" s="189">
        <v>142</v>
      </c>
      <c r="E7" s="180">
        <v>252</v>
      </c>
      <c r="F7" s="184">
        <v>352</v>
      </c>
      <c r="G7" s="273">
        <f t="shared" si="0"/>
        <v>1226</v>
      </c>
      <c r="H7" s="205"/>
    </row>
    <row r="8" spans="2:8" ht="15">
      <c r="B8" s="184" t="s">
        <v>10</v>
      </c>
      <c r="C8" s="184">
        <v>944</v>
      </c>
      <c r="D8" s="189">
        <v>916</v>
      </c>
      <c r="E8" s="180">
        <v>564</v>
      </c>
      <c r="F8" s="184">
        <v>1100</v>
      </c>
      <c r="G8" s="273">
        <f t="shared" si="0"/>
        <v>3524</v>
      </c>
      <c r="H8" s="205"/>
    </row>
    <row r="9" spans="2:8" ht="15">
      <c r="B9" s="197" t="s">
        <v>11</v>
      </c>
      <c r="C9" s="197">
        <v>3.02</v>
      </c>
      <c r="D9" s="122">
        <v>4.59</v>
      </c>
      <c r="E9" s="198">
        <v>3.57</v>
      </c>
      <c r="F9" s="197">
        <v>3.11</v>
      </c>
      <c r="G9" s="273">
        <f t="shared" si="0"/>
        <v>14.29</v>
      </c>
      <c r="H9" s="208">
        <f>G9/4</f>
        <v>3.5725</v>
      </c>
    </row>
    <row r="10" spans="2:8" ht="15">
      <c r="B10" s="181" t="s">
        <v>13</v>
      </c>
      <c r="C10" s="193">
        <f>C9-$C$2</f>
        <v>0.71</v>
      </c>
      <c r="D10" s="193">
        <f>D9-$C$2</f>
        <v>2.28</v>
      </c>
      <c r="E10" s="193">
        <f>E9-$C$2</f>
        <v>1.2599999999999998</v>
      </c>
      <c r="F10" s="181">
        <f>F9-$C$2</f>
        <v>0.7999999999999998</v>
      </c>
      <c r="G10" s="273">
        <f t="shared" si="0"/>
        <v>5.05</v>
      </c>
      <c r="H10" s="209">
        <f>G10/4</f>
        <v>1.2625</v>
      </c>
    </row>
    <row r="11" spans="2:8" ht="15">
      <c r="B11" s="195" t="s">
        <v>12</v>
      </c>
      <c r="C11" s="190">
        <f>C10*(C7+C8)</f>
        <v>1011.04</v>
      </c>
      <c r="D11" s="190">
        <f>D10*(D7+D8)</f>
        <v>2412.24</v>
      </c>
      <c r="E11" s="190">
        <f>E10*(E7+E8)</f>
        <v>1028.1599999999999</v>
      </c>
      <c r="F11" s="207">
        <f>F10*(F7+F8)</f>
        <v>1161.5999999999997</v>
      </c>
      <c r="G11" s="273">
        <f t="shared" si="0"/>
        <v>5613.039999999999</v>
      </c>
      <c r="H11" s="204">
        <f>G11/4</f>
        <v>1403.2599999999998</v>
      </c>
    </row>
    <row r="12" spans="2:8" ht="15">
      <c r="B12" s="184"/>
      <c r="C12" s="193"/>
      <c r="D12" s="193"/>
      <c r="E12" s="193"/>
      <c r="F12" s="181"/>
      <c r="G12" s="193"/>
      <c r="H12" s="210"/>
    </row>
    <row r="13" spans="2:9" ht="15">
      <c r="B13" s="185"/>
      <c r="C13" s="191">
        <f>C10*SUM(C7:C8)</f>
        <v>1011.04</v>
      </c>
      <c r="D13" s="191">
        <f>D10*SUM(D7:D8)</f>
        <v>2412.24</v>
      </c>
      <c r="E13" s="191">
        <f>E10*SUM(E7:E8)</f>
        <v>1028.1599999999999</v>
      </c>
      <c r="F13" s="185">
        <f>F10*SUM(F7:F8)</f>
        <v>1161.5999999999997</v>
      </c>
      <c r="G13" s="273">
        <f t="shared" si="0"/>
        <v>5613.039999999999</v>
      </c>
      <c r="H13" s="211">
        <f>G13/(G7+G8)</f>
        <v>1.181692631578947</v>
      </c>
      <c r="I13" t="s">
        <v>99</v>
      </c>
    </row>
    <row r="16" spans="2:8" ht="15">
      <c r="B16" t="s">
        <v>35</v>
      </c>
      <c r="C16" s="8">
        <f>C8/C7</f>
        <v>1.9666666666666666</v>
      </c>
      <c r="D16" s="8">
        <f>D8/D7</f>
        <v>6.450704225352113</v>
      </c>
      <c r="E16" s="8">
        <f>E8/E7</f>
        <v>2.238095238095238</v>
      </c>
      <c r="F16" s="8">
        <f>F8/F7</f>
        <v>3.125</v>
      </c>
      <c r="G16" s="8"/>
      <c r="H16" s="103">
        <f>G8/G7</f>
        <v>2.8743882544861337</v>
      </c>
    </row>
    <row r="87" spans="1:8" ht="15">
      <c r="A87" s="1" t="s">
        <v>6</v>
      </c>
      <c r="B87" s="1"/>
      <c r="C87">
        <v>3923.7766666666666</v>
      </c>
      <c r="D87">
        <v>6353.800704225351</v>
      </c>
      <c r="E87">
        <v>3161.388095238095</v>
      </c>
      <c r="F87">
        <v>4332.234999999999</v>
      </c>
      <c r="H87">
        <v>1412.1510808860648</v>
      </c>
    </row>
  </sheetData>
  <sheetProtection/>
  <printOptions/>
  <pageMargins left="0.7" right="0.7" top="0.75" bottom="0.75" header="0.3" footer="0.3"/>
  <pageSetup horizontalDpi="600" verticalDpi="6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B3:H21"/>
  <sheetViews>
    <sheetView zoomScalePageLayoutView="0" workbookViewId="0" topLeftCell="A1">
      <selection activeCell="E24" sqref="E24"/>
    </sheetView>
  </sheetViews>
  <sheetFormatPr defaultColWidth="9.140625" defaultRowHeight="15"/>
  <cols>
    <col min="2" max="2" width="20.7109375" style="0" customWidth="1"/>
    <col min="3" max="3" width="21.57421875" style="0" customWidth="1"/>
    <col min="4" max="4" width="25.421875" style="0" customWidth="1"/>
    <col min="5" max="5" width="25.00390625" style="0" customWidth="1"/>
    <col min="6" max="6" width="22.57421875" style="0" customWidth="1"/>
    <col min="7" max="7" width="22.7109375" style="0" customWidth="1"/>
  </cols>
  <sheetData>
    <row r="2" ht="15.75" thickBot="1"/>
    <row r="3" spans="2:8" ht="45.75" thickBot="1">
      <c r="B3" s="171" t="s">
        <v>116</v>
      </c>
      <c r="C3" s="172" t="s">
        <v>117</v>
      </c>
      <c r="D3" s="172" t="s">
        <v>118</v>
      </c>
      <c r="E3" s="172" t="s">
        <v>119</v>
      </c>
      <c r="F3" s="172" t="s">
        <v>120</v>
      </c>
      <c r="G3" s="172" t="s">
        <v>121</v>
      </c>
      <c r="H3" s="173" t="s">
        <v>122</v>
      </c>
    </row>
    <row r="4" spans="2:8" ht="60" customHeight="1">
      <c r="B4" s="380" t="s">
        <v>123</v>
      </c>
      <c r="C4" s="376" t="s">
        <v>215</v>
      </c>
      <c r="D4" s="376" t="s">
        <v>216</v>
      </c>
      <c r="E4" s="381" t="s">
        <v>129</v>
      </c>
      <c r="F4" s="376" t="s">
        <v>128</v>
      </c>
      <c r="G4" s="376" t="s">
        <v>219</v>
      </c>
      <c r="H4" s="379">
        <v>6</v>
      </c>
    </row>
    <row r="5" spans="2:8" ht="15">
      <c r="B5" s="374"/>
      <c r="C5" s="377"/>
      <c r="D5" s="377"/>
      <c r="E5" s="382"/>
      <c r="F5" s="377"/>
      <c r="G5" s="377"/>
      <c r="H5" s="378"/>
    </row>
    <row r="6" spans="2:8" ht="45">
      <c r="B6" s="374"/>
      <c r="C6" s="377"/>
      <c r="D6" s="276" t="s">
        <v>217</v>
      </c>
      <c r="E6" s="277" t="s">
        <v>130</v>
      </c>
      <c r="F6" s="276" t="s">
        <v>218</v>
      </c>
      <c r="G6" s="276" t="s">
        <v>221</v>
      </c>
      <c r="H6" s="287">
        <v>6</v>
      </c>
    </row>
    <row r="7" spans="2:8" ht="15">
      <c r="B7" s="374"/>
      <c r="C7" s="377" t="s">
        <v>124</v>
      </c>
      <c r="D7" s="377" t="s">
        <v>125</v>
      </c>
      <c r="E7" s="377" t="s">
        <v>126</v>
      </c>
      <c r="F7" s="377" t="s">
        <v>127</v>
      </c>
      <c r="G7" s="377" t="s">
        <v>220</v>
      </c>
      <c r="H7" s="378">
        <v>8</v>
      </c>
    </row>
    <row r="8" spans="2:8" ht="75" customHeight="1">
      <c r="B8" s="374"/>
      <c r="C8" s="377"/>
      <c r="D8" s="377"/>
      <c r="E8" s="377"/>
      <c r="F8" s="377"/>
      <c r="G8" s="377"/>
      <c r="H8" s="378"/>
    </row>
    <row r="9" spans="2:8" ht="15" customHeight="1">
      <c r="B9" s="374" t="s">
        <v>137</v>
      </c>
      <c r="C9" s="365" t="s">
        <v>213</v>
      </c>
      <c r="D9" s="365" t="s">
        <v>214</v>
      </c>
      <c r="E9" s="365" t="s">
        <v>212</v>
      </c>
      <c r="F9" s="368" t="s">
        <v>223</v>
      </c>
      <c r="G9" s="368" t="s">
        <v>222</v>
      </c>
      <c r="H9" s="371">
        <v>8</v>
      </c>
    </row>
    <row r="10" spans="2:8" ht="15">
      <c r="B10" s="374"/>
      <c r="C10" s="366"/>
      <c r="D10" s="366"/>
      <c r="E10" s="366"/>
      <c r="F10" s="369"/>
      <c r="G10" s="369"/>
      <c r="H10" s="372"/>
    </row>
    <row r="11" spans="2:8" ht="15">
      <c r="B11" s="374"/>
      <c r="C11" s="366"/>
      <c r="D11" s="366"/>
      <c r="E11" s="366"/>
      <c r="F11" s="369"/>
      <c r="G11" s="369"/>
      <c r="H11" s="372"/>
    </row>
    <row r="12" spans="2:8" ht="15">
      <c r="B12" s="374"/>
      <c r="C12" s="366"/>
      <c r="D12" s="366"/>
      <c r="E12" s="366"/>
      <c r="F12" s="369"/>
      <c r="G12" s="369"/>
      <c r="H12" s="372"/>
    </row>
    <row r="13" spans="2:8" ht="15">
      <c r="B13" s="374"/>
      <c r="C13" s="366"/>
      <c r="D13" s="366"/>
      <c r="E13" s="366"/>
      <c r="F13" s="369"/>
      <c r="G13" s="369"/>
      <c r="H13" s="372"/>
    </row>
    <row r="14" spans="2:8" ht="15">
      <c r="B14" s="374"/>
      <c r="C14" s="366"/>
      <c r="D14" s="366"/>
      <c r="E14" s="366"/>
      <c r="F14" s="369"/>
      <c r="G14" s="369"/>
      <c r="H14" s="372"/>
    </row>
    <row r="15" spans="2:8" ht="15">
      <c r="B15" s="374"/>
      <c r="C15" s="366"/>
      <c r="D15" s="366"/>
      <c r="E15" s="366"/>
      <c r="F15" s="369"/>
      <c r="G15" s="369"/>
      <c r="H15" s="372"/>
    </row>
    <row r="16" spans="2:8" ht="15">
      <c r="B16" s="374"/>
      <c r="C16" s="366"/>
      <c r="D16" s="366"/>
      <c r="E16" s="366"/>
      <c r="F16" s="369"/>
      <c r="G16" s="369"/>
      <c r="H16" s="372"/>
    </row>
    <row r="17" spans="2:8" ht="15">
      <c r="B17" s="374"/>
      <c r="C17" s="366"/>
      <c r="D17" s="366"/>
      <c r="E17" s="366"/>
      <c r="F17" s="369"/>
      <c r="G17" s="369"/>
      <c r="H17" s="372"/>
    </row>
    <row r="18" spans="2:8" ht="15">
      <c r="B18" s="374"/>
      <c r="C18" s="366"/>
      <c r="D18" s="366"/>
      <c r="E18" s="366"/>
      <c r="F18" s="369"/>
      <c r="G18" s="369"/>
      <c r="H18" s="372"/>
    </row>
    <row r="19" spans="2:8" ht="15">
      <c r="B19" s="374"/>
      <c r="C19" s="366"/>
      <c r="D19" s="366"/>
      <c r="E19" s="366"/>
      <c r="F19" s="369"/>
      <c r="G19" s="369"/>
      <c r="H19" s="372"/>
    </row>
    <row r="20" spans="2:8" ht="15">
      <c r="B20" s="374"/>
      <c r="C20" s="366"/>
      <c r="D20" s="366"/>
      <c r="E20" s="366"/>
      <c r="F20" s="369"/>
      <c r="G20" s="369"/>
      <c r="H20" s="372"/>
    </row>
    <row r="21" spans="2:8" ht="15.75" thickBot="1">
      <c r="B21" s="375"/>
      <c r="C21" s="367"/>
      <c r="D21" s="367"/>
      <c r="E21" s="367"/>
      <c r="F21" s="370"/>
      <c r="G21" s="370"/>
      <c r="H21" s="373"/>
    </row>
  </sheetData>
  <sheetProtection/>
  <mergeCells count="20">
    <mergeCell ref="C7:C8"/>
    <mergeCell ref="D7:D8"/>
    <mergeCell ref="E7:E8"/>
    <mergeCell ref="F7:F8"/>
    <mergeCell ref="B9:B21"/>
    <mergeCell ref="C4:C6"/>
    <mergeCell ref="H7:H8"/>
    <mergeCell ref="H4:H5"/>
    <mergeCell ref="G7:G8"/>
    <mergeCell ref="B4:B8"/>
    <mergeCell ref="D4:D5"/>
    <mergeCell ref="E4:E5"/>
    <mergeCell ref="F4:F5"/>
    <mergeCell ref="G4:G5"/>
    <mergeCell ref="C9:C21"/>
    <mergeCell ref="D9:D21"/>
    <mergeCell ref="E9:E21"/>
    <mergeCell ref="F9:F21"/>
    <mergeCell ref="G9:G21"/>
    <mergeCell ref="H9:H21"/>
  </mergeCells>
  <printOptions/>
  <pageMargins left="0.7" right="0.7" top="0.75" bottom="0.75" header="0.3" footer="0.3"/>
  <pageSetup fitToHeight="1" fitToWidth="1" horizontalDpi="600" verticalDpi="600" orientation="landscape" scale="83" r:id="rId1"/>
</worksheet>
</file>

<file path=xl/worksheets/sheet11.xml><?xml version="1.0" encoding="utf-8"?>
<worksheet xmlns="http://schemas.openxmlformats.org/spreadsheetml/2006/main" xmlns:r="http://schemas.openxmlformats.org/officeDocument/2006/relationships">
  <dimension ref="B1:D112"/>
  <sheetViews>
    <sheetView view="pageBreakPreview" zoomScale="87" zoomScaleSheetLayoutView="87" workbookViewId="0" topLeftCell="A1">
      <selection activeCell="G42" sqref="G42"/>
    </sheetView>
  </sheetViews>
  <sheetFormatPr defaultColWidth="9.140625" defaultRowHeight="15"/>
  <cols>
    <col min="2" max="2" width="53.57421875" style="0" bestFit="1" customWidth="1"/>
    <col min="3" max="4" width="21.28125" style="0" bestFit="1" customWidth="1"/>
  </cols>
  <sheetData>
    <row r="1" ht="15">
      <c r="B1" s="127"/>
    </row>
    <row r="2" ht="15">
      <c r="B2" s="127"/>
    </row>
    <row r="3" ht="15.75" thickBot="1">
      <c r="B3" s="177" t="s">
        <v>139</v>
      </c>
    </row>
    <row r="4" spans="2:4" ht="32.25" thickBot="1">
      <c r="B4" s="34" t="s">
        <v>83</v>
      </c>
      <c r="C4" s="178" t="s">
        <v>132</v>
      </c>
      <c r="D4" s="178" t="s">
        <v>133</v>
      </c>
    </row>
    <row r="5" spans="2:4" ht="15">
      <c r="B5" s="35" t="s">
        <v>64</v>
      </c>
      <c r="C5" s="42"/>
      <c r="D5" s="42"/>
    </row>
    <row r="6" spans="2:4" ht="15">
      <c r="B6" s="36" t="s">
        <v>18</v>
      </c>
      <c r="C6" s="43">
        <f>'VMT Total BCA'!AP35</f>
        <v>11309436.14664391</v>
      </c>
      <c r="D6" s="43">
        <f>'VMT Total BCA'!AZ35</f>
        <v>5725424.996615602</v>
      </c>
    </row>
    <row r="7" spans="2:4" ht="15">
      <c r="B7" s="36" t="s">
        <v>190</v>
      </c>
      <c r="C7" s="43">
        <f>'VMT Total BCA'!BJ35</f>
        <v>3622839.554200309</v>
      </c>
      <c r="D7" s="43">
        <f>'VMT Total BCA'!BK35</f>
        <v>2466193.4888711725</v>
      </c>
    </row>
    <row r="8" spans="2:4" ht="15">
      <c r="B8" s="36" t="s">
        <v>191</v>
      </c>
      <c r="C8" s="43">
        <f>-'VMT Total BCA'!BM35</f>
        <v>-1049304.9568823534</v>
      </c>
      <c r="D8" s="43">
        <f>-'VMT Total BCA'!BN35</f>
        <v>-421447.944312056</v>
      </c>
    </row>
    <row r="9" spans="2:4" ht="15.75" thickBot="1">
      <c r="B9" s="37" t="s">
        <v>65</v>
      </c>
      <c r="C9" s="44">
        <f>SUM(C6:C8)</f>
        <v>13882970.743961865</v>
      </c>
      <c r="D9" s="44">
        <f>SUM(D6:D8)</f>
        <v>7770170.541174718</v>
      </c>
    </row>
    <row r="10" spans="2:4" ht="15">
      <c r="B10" s="35" t="s">
        <v>66</v>
      </c>
      <c r="C10" s="42"/>
      <c r="D10" s="42"/>
    </row>
    <row r="11" spans="2:4" ht="15">
      <c r="B11" s="36" t="s">
        <v>75</v>
      </c>
      <c r="C11" s="43">
        <f>'VMT Total BCA'!AU35</f>
        <v>26232144.101248108</v>
      </c>
      <c r="D11" s="43">
        <f>'VMT Total BCA'!BE35</f>
        <v>13279240.214770474</v>
      </c>
    </row>
    <row r="12" spans="2:4" ht="15">
      <c r="B12" s="36" t="s">
        <v>76</v>
      </c>
      <c r="C12" s="43">
        <f>'VMT Total BCA'!AV35+'VMT Total BCA'!AW35</f>
        <v>-3106888.816168776</v>
      </c>
      <c r="D12" s="43">
        <f>'VMT Total BCA'!BF35+'VMT Total BCA'!BG35</f>
        <v>-1572761.6841613222</v>
      </c>
    </row>
    <row r="13" spans="2:4" ht="15.75" thickBot="1">
      <c r="B13" s="37" t="s">
        <v>67</v>
      </c>
      <c r="C13" s="44">
        <f>SUM(C11:C12)</f>
        <v>23125255.28507933</v>
      </c>
      <c r="D13" s="44">
        <f>SUM(D11:D12)</f>
        <v>11706478.530609151</v>
      </c>
    </row>
    <row r="14" spans="2:4" ht="15">
      <c r="B14" s="38" t="s">
        <v>68</v>
      </c>
      <c r="C14" s="42"/>
      <c r="D14" s="42"/>
    </row>
    <row r="15" spans="2:4" ht="15">
      <c r="B15" s="36" t="s">
        <v>19</v>
      </c>
      <c r="C15" s="43">
        <f>'VMT Total BCA'!AQ35</f>
        <v>19794939.49009576</v>
      </c>
      <c r="D15" s="43">
        <f>'VMT Total BCA'!BA35</f>
        <v>10020760.446934178</v>
      </c>
    </row>
    <row r="16" spans="2:4" ht="15">
      <c r="B16" s="36" t="s">
        <v>22</v>
      </c>
      <c r="C16" s="43">
        <f>'VMT Total BCA'!AT35</f>
        <v>2958811.817251674</v>
      </c>
      <c r="D16" s="43">
        <f>'VMT Total BCA'!BD35</f>
        <v>1497787.5030636534</v>
      </c>
    </row>
    <row r="17" spans="2:4" ht="15.75" thickBot="1">
      <c r="B17" s="37" t="s">
        <v>69</v>
      </c>
      <c r="C17" s="44">
        <f>SUM(C15:C16)</f>
        <v>22753751.307347436</v>
      </c>
      <c r="D17" s="44">
        <f>SUM(D15:D16)</f>
        <v>11518547.949997831</v>
      </c>
    </row>
    <row r="18" spans="2:4" ht="15">
      <c r="B18" s="38" t="s">
        <v>70</v>
      </c>
      <c r="C18" s="42"/>
      <c r="D18" s="42"/>
    </row>
    <row r="19" spans="2:4" ht="15">
      <c r="B19" s="36" t="s">
        <v>77</v>
      </c>
      <c r="C19" s="45">
        <f>'VMT Total BCA'!AS35</f>
        <v>4832176.9054599255</v>
      </c>
      <c r="D19" s="45">
        <f>'VMT Total BCA'!BC35</f>
        <v>2446154.0780134643</v>
      </c>
    </row>
    <row r="20" spans="2:4" ht="15">
      <c r="B20" s="36" t="s">
        <v>78</v>
      </c>
      <c r="C20" s="45">
        <f>'VMT Total BCA'!AX35</f>
        <v>3155890.1630359385</v>
      </c>
      <c r="D20" s="45">
        <f>'VMT Total BCA'!BH35</f>
        <v>1559662.1642300906</v>
      </c>
    </row>
    <row r="21" spans="2:4" ht="15">
      <c r="B21" s="36" t="s">
        <v>189</v>
      </c>
      <c r="C21" s="45">
        <f>'VMT Total BCA'!BP35</f>
        <v>249950.1610705018</v>
      </c>
      <c r="D21" s="45">
        <f>'VMT Total BCA'!BQ35</f>
        <v>141973.12561894147</v>
      </c>
    </row>
    <row r="22" spans="2:4" ht="15.75" thickBot="1">
      <c r="B22" s="37" t="s">
        <v>71</v>
      </c>
      <c r="C22" s="46">
        <f>SUM(C19:C21)</f>
        <v>8238017.2295663655</v>
      </c>
      <c r="D22" s="46">
        <f>SUM(D19:D21)</f>
        <v>4147789.3678624965</v>
      </c>
    </row>
    <row r="23" spans="2:4" ht="15">
      <c r="B23" s="38" t="s">
        <v>72</v>
      </c>
      <c r="C23" s="42"/>
      <c r="D23" s="42"/>
    </row>
    <row r="24" spans="2:4" ht="15">
      <c r="B24" s="36" t="s">
        <v>20</v>
      </c>
      <c r="C24" s="45">
        <f>'VMT Total BCA'!AR35</f>
        <v>1238677.6921832473</v>
      </c>
      <c r="D24" s="45">
        <f>'VMT Total BCA'!BB35</f>
        <v>627084.015433626</v>
      </c>
    </row>
    <row r="25" spans="2:4" ht="15.75" thickBot="1">
      <c r="B25" s="37" t="s">
        <v>73</v>
      </c>
      <c r="C25" s="46">
        <f>SUM(C24:C24)</f>
        <v>1238677.6921832473</v>
      </c>
      <c r="D25" s="46">
        <f>SUM(D24:D24)</f>
        <v>627084.015433626</v>
      </c>
    </row>
    <row r="26" spans="2:4" ht="16.5" thickBot="1">
      <c r="B26" s="39" t="s">
        <v>80</v>
      </c>
      <c r="C26" s="40">
        <f>C9+C13+C17+C22+C25</f>
        <v>69238672.25813824</v>
      </c>
      <c r="D26" s="40">
        <f>D9+D13+D17+D22+D25</f>
        <v>35770070.40507782</v>
      </c>
    </row>
    <row r="27" spans="2:4" ht="16.5" thickBot="1">
      <c r="B27" s="39" t="s">
        <v>79</v>
      </c>
      <c r="C27" s="270">
        <v>27570000</v>
      </c>
      <c r="D27" s="270">
        <v>27570000</v>
      </c>
    </row>
    <row r="28" spans="2:4" ht="16.5" thickBot="1">
      <c r="B28" s="39" t="s">
        <v>74</v>
      </c>
      <c r="C28" s="41">
        <f>C26/C27</f>
        <v>2.5113773035233313</v>
      </c>
      <c r="D28" s="41">
        <f>D26/D27</f>
        <v>1.2974272907173676</v>
      </c>
    </row>
    <row r="31" ht="15.75" thickBot="1">
      <c r="B31" s="177"/>
    </row>
    <row r="32" spans="2:4" ht="16.5" thickBot="1">
      <c r="B32" s="34"/>
      <c r="C32" s="178"/>
      <c r="D32" s="178"/>
    </row>
    <row r="33" spans="2:4" ht="15">
      <c r="B33" s="35"/>
      <c r="C33" s="42"/>
      <c r="D33" s="42"/>
    </row>
    <row r="34" spans="2:4" ht="15">
      <c r="B34" s="36"/>
      <c r="C34" s="43"/>
      <c r="D34" s="43"/>
    </row>
    <row r="35" spans="2:4" ht="15">
      <c r="B35" s="36"/>
      <c r="C35" s="43"/>
      <c r="D35" s="43"/>
    </row>
    <row r="36" spans="2:4" ht="15">
      <c r="B36" s="36"/>
      <c r="C36" s="43"/>
      <c r="D36" s="43"/>
    </row>
    <row r="37" spans="2:4" ht="15.75" thickBot="1">
      <c r="B37" s="37"/>
      <c r="C37" s="44"/>
      <c r="D37" s="44"/>
    </row>
    <row r="38" spans="2:4" ht="15">
      <c r="B38" s="35"/>
      <c r="C38" s="42"/>
      <c r="D38" s="42"/>
    </row>
    <row r="39" spans="2:4" ht="15">
      <c r="B39" s="36"/>
      <c r="C39" s="43"/>
      <c r="D39" s="43"/>
    </row>
    <row r="40" spans="2:4" ht="15">
      <c r="B40" s="36"/>
      <c r="C40" s="43"/>
      <c r="D40" s="43"/>
    </row>
    <row r="41" spans="2:4" ht="15.75" thickBot="1">
      <c r="B41" s="37"/>
      <c r="C41" s="44"/>
      <c r="D41" s="44"/>
    </row>
    <row r="42" spans="2:4" ht="15">
      <c r="B42" s="38"/>
      <c r="C42" s="42"/>
      <c r="D42" s="42"/>
    </row>
    <row r="43" spans="2:4" ht="15">
      <c r="B43" s="36"/>
      <c r="C43" s="43"/>
      <c r="D43" s="43"/>
    </row>
    <row r="44" spans="2:4" ht="15">
      <c r="B44" s="36"/>
      <c r="C44" s="43"/>
      <c r="D44" s="43"/>
    </row>
    <row r="45" spans="2:4" ht="15.75" thickBot="1">
      <c r="B45" s="37"/>
      <c r="C45" s="44"/>
      <c r="D45" s="44"/>
    </row>
    <row r="46" spans="2:4" ht="15">
      <c r="B46" s="38"/>
      <c r="C46" s="42"/>
      <c r="D46" s="42"/>
    </row>
    <row r="47" spans="2:4" ht="15">
      <c r="B47" s="36"/>
      <c r="C47" s="45"/>
      <c r="D47" s="45"/>
    </row>
    <row r="48" spans="2:4" ht="15">
      <c r="B48" s="36"/>
      <c r="C48" s="45"/>
      <c r="D48" s="45"/>
    </row>
    <row r="49" spans="2:4" ht="15">
      <c r="B49" s="36"/>
      <c r="C49" s="45"/>
      <c r="D49" s="45"/>
    </row>
    <row r="50" spans="2:4" ht="15.75" thickBot="1">
      <c r="B50" s="37"/>
      <c r="C50" s="46"/>
      <c r="D50" s="46"/>
    </row>
    <row r="51" spans="2:4" ht="15">
      <c r="B51" s="38"/>
      <c r="C51" s="42"/>
      <c r="D51" s="42"/>
    </row>
    <row r="52" spans="2:4" ht="15">
      <c r="B52" s="36"/>
      <c r="C52" s="45"/>
      <c r="D52" s="45"/>
    </row>
    <row r="53" spans="2:4" ht="15.75" thickBot="1">
      <c r="B53" s="37"/>
      <c r="C53" s="46"/>
      <c r="D53" s="46"/>
    </row>
    <row r="54" spans="2:4" ht="16.5" thickBot="1">
      <c r="B54" s="39"/>
      <c r="C54" s="40"/>
      <c r="D54" s="40"/>
    </row>
    <row r="55" spans="2:4" ht="16.5" thickBot="1">
      <c r="B55" s="39"/>
      <c r="C55" s="217"/>
      <c r="D55" s="217"/>
    </row>
    <row r="56" spans="2:4" ht="16.5" thickBot="1">
      <c r="B56" s="39"/>
      <c r="C56" s="41"/>
      <c r="D56" s="41"/>
    </row>
    <row r="59" ht="15.75" thickBot="1">
      <c r="B59" s="177"/>
    </row>
    <row r="60" spans="2:4" ht="16.5" thickBot="1">
      <c r="B60" s="34"/>
      <c r="C60" s="178"/>
      <c r="D60" s="178"/>
    </row>
    <row r="61" spans="2:4" ht="15">
      <c r="B61" s="35"/>
      <c r="C61" s="42"/>
      <c r="D61" s="42"/>
    </row>
    <row r="62" spans="2:4" ht="15">
      <c r="B62" s="36"/>
      <c r="C62" s="43"/>
      <c r="D62" s="43"/>
    </row>
    <row r="63" spans="2:4" ht="15">
      <c r="B63" s="36"/>
      <c r="C63" s="43"/>
      <c r="D63" s="43"/>
    </row>
    <row r="64" spans="2:4" ht="15">
      <c r="B64" s="36"/>
      <c r="C64" s="43"/>
      <c r="D64" s="43"/>
    </row>
    <row r="65" spans="2:4" ht="15.75" thickBot="1">
      <c r="B65" s="37"/>
      <c r="C65" s="44"/>
      <c r="D65" s="44"/>
    </row>
    <row r="66" spans="2:4" ht="15">
      <c r="B66" s="35"/>
      <c r="C66" s="42"/>
      <c r="D66" s="42"/>
    </row>
    <row r="67" spans="2:4" ht="15">
      <c r="B67" s="36"/>
      <c r="C67" s="43"/>
      <c r="D67" s="43"/>
    </row>
    <row r="68" spans="2:4" ht="15">
      <c r="B68" s="36"/>
      <c r="C68" s="43"/>
      <c r="D68" s="43"/>
    </row>
    <row r="69" spans="2:4" ht="15.75" thickBot="1">
      <c r="B69" s="37"/>
      <c r="C69" s="44"/>
      <c r="D69" s="44"/>
    </row>
    <row r="70" spans="2:4" ht="15">
      <c r="B70" s="38"/>
      <c r="C70" s="42"/>
      <c r="D70" s="42"/>
    </row>
    <row r="71" spans="2:4" ht="15">
      <c r="B71" s="36"/>
      <c r="C71" s="43"/>
      <c r="D71" s="43"/>
    </row>
    <row r="72" spans="2:4" ht="15">
      <c r="B72" s="36"/>
      <c r="C72" s="43"/>
      <c r="D72" s="43"/>
    </row>
    <row r="73" spans="2:4" ht="15.75" thickBot="1">
      <c r="B73" s="37"/>
      <c r="C73" s="44"/>
      <c r="D73" s="44"/>
    </row>
    <row r="74" spans="2:4" ht="15">
      <c r="B74" s="38"/>
      <c r="C74" s="42"/>
      <c r="D74" s="42"/>
    </row>
    <row r="75" spans="2:4" ht="15">
      <c r="B75" s="36"/>
      <c r="C75" s="45"/>
      <c r="D75" s="45"/>
    </row>
    <row r="76" spans="2:4" ht="15">
      <c r="B76" s="36"/>
      <c r="C76" s="45"/>
      <c r="D76" s="45"/>
    </row>
    <row r="77" spans="2:4" ht="15">
      <c r="B77" s="36"/>
      <c r="C77" s="45"/>
      <c r="D77" s="45"/>
    </row>
    <row r="78" spans="2:4" ht="15.75" thickBot="1">
      <c r="B78" s="37"/>
      <c r="C78" s="46"/>
      <c r="D78" s="46"/>
    </row>
    <row r="79" spans="2:4" ht="15">
      <c r="B79" s="38"/>
      <c r="C79" s="42"/>
      <c r="D79" s="42"/>
    </row>
    <row r="80" spans="2:4" ht="15">
      <c r="B80" s="36"/>
      <c r="C80" s="45"/>
      <c r="D80" s="45"/>
    </row>
    <row r="81" spans="2:4" ht="15.75" thickBot="1">
      <c r="B81" s="37"/>
      <c r="C81" s="46"/>
      <c r="D81" s="46"/>
    </row>
    <row r="82" spans="2:4" ht="16.5" thickBot="1">
      <c r="B82" s="39"/>
      <c r="C82" s="40"/>
      <c r="D82" s="40"/>
    </row>
    <row r="83" spans="2:4" ht="16.5" thickBot="1">
      <c r="B83" s="39"/>
      <c r="C83" s="217"/>
      <c r="D83" s="217"/>
    </row>
    <row r="84" spans="2:4" ht="16.5" thickBot="1">
      <c r="B84" s="39"/>
      <c r="C84" s="41"/>
      <c r="D84" s="179"/>
    </row>
    <row r="87" ht="15.75" thickBot="1">
      <c r="B87" s="177"/>
    </row>
    <row r="88" spans="2:4" ht="16.5" thickBot="1">
      <c r="B88" s="34"/>
      <c r="C88" s="178"/>
      <c r="D88" s="178"/>
    </row>
    <row r="89" spans="2:4" ht="15">
      <c r="B89" s="35"/>
      <c r="C89" s="42"/>
      <c r="D89" s="42"/>
    </row>
    <row r="90" spans="2:4" ht="15">
      <c r="B90" s="36"/>
      <c r="C90" s="43"/>
      <c r="D90" s="43"/>
    </row>
    <row r="91" spans="2:4" ht="15">
      <c r="B91" s="36"/>
      <c r="C91" s="43"/>
      <c r="D91" s="43"/>
    </row>
    <row r="92" spans="2:4" ht="15">
      <c r="B92" s="36"/>
      <c r="C92" s="43"/>
      <c r="D92" s="43"/>
    </row>
    <row r="93" spans="2:4" ht="15.75" thickBot="1">
      <c r="B93" s="37"/>
      <c r="C93" s="44"/>
      <c r="D93" s="44"/>
    </row>
    <row r="94" spans="2:4" ht="15">
      <c r="B94" s="35"/>
      <c r="C94" s="42"/>
      <c r="D94" s="42"/>
    </row>
    <row r="95" spans="2:4" ht="15">
      <c r="B95" s="36"/>
      <c r="C95" s="43"/>
      <c r="D95" s="43"/>
    </row>
    <row r="96" spans="2:4" ht="15">
      <c r="B96" s="36"/>
      <c r="C96" s="43"/>
      <c r="D96" s="43"/>
    </row>
    <row r="97" spans="2:4" ht="15.75" thickBot="1">
      <c r="B97" s="37"/>
      <c r="C97" s="44"/>
      <c r="D97" s="44"/>
    </row>
    <row r="98" spans="2:4" ht="15">
      <c r="B98" s="38"/>
      <c r="C98" s="42"/>
      <c r="D98" s="42"/>
    </row>
    <row r="99" spans="2:4" ht="15">
      <c r="B99" s="36"/>
      <c r="C99" s="43"/>
      <c r="D99" s="43"/>
    </row>
    <row r="100" spans="2:4" ht="15">
      <c r="B100" s="36"/>
      <c r="C100" s="43"/>
      <c r="D100" s="43"/>
    </row>
    <row r="101" spans="2:4" ht="15.75" thickBot="1">
      <c r="B101" s="37"/>
      <c r="C101" s="44"/>
      <c r="D101" s="44"/>
    </row>
    <row r="102" spans="2:4" ht="15">
      <c r="B102" s="38"/>
      <c r="C102" s="42"/>
      <c r="D102" s="42"/>
    </row>
    <row r="103" spans="2:4" ht="15">
      <c r="B103" s="36"/>
      <c r="C103" s="45"/>
      <c r="D103" s="45"/>
    </row>
    <row r="104" spans="2:4" ht="15">
      <c r="B104" s="36"/>
      <c r="C104" s="45"/>
      <c r="D104" s="45"/>
    </row>
    <row r="105" spans="2:4" ht="15">
      <c r="B105" s="36"/>
      <c r="C105" s="45"/>
      <c r="D105" s="45"/>
    </row>
    <row r="106" spans="2:4" ht="15.75" thickBot="1">
      <c r="B106" s="37"/>
      <c r="C106" s="46"/>
      <c r="D106" s="46"/>
    </row>
    <row r="107" spans="2:4" ht="15">
      <c r="B107" s="38"/>
      <c r="C107" s="42"/>
      <c r="D107" s="42"/>
    </row>
    <row r="108" spans="2:4" ht="15">
      <c r="B108" s="36"/>
      <c r="C108" s="45"/>
      <c r="D108" s="45"/>
    </row>
    <row r="109" spans="2:4" ht="15.75" thickBot="1">
      <c r="B109" s="37"/>
      <c r="C109" s="46"/>
      <c r="D109" s="46"/>
    </row>
    <row r="110" spans="2:4" ht="16.5" thickBot="1">
      <c r="B110" s="39"/>
      <c r="C110" s="40"/>
      <c r="D110" s="40"/>
    </row>
    <row r="111" spans="2:4" ht="16.5" thickBot="1">
      <c r="B111" s="39"/>
      <c r="C111" s="217"/>
      <c r="D111" s="217"/>
    </row>
    <row r="112" spans="2:4" ht="16.5" thickBot="1">
      <c r="B112" s="39"/>
      <c r="C112" s="41"/>
      <c r="D112" s="179"/>
    </row>
  </sheetData>
  <sheetProtection/>
  <printOptions/>
  <pageMargins left="0.7" right="0.7" top="0.75" bottom="0.75" header="0.3" footer="0.3"/>
  <pageSetup horizontalDpi="600" verticalDpi="600" orientation="landscape" scale="65" r:id="rId1"/>
  <rowBreaks count="3" manualBreakCount="3">
    <brk id="29" min="1" max="7" man="1"/>
    <brk id="57" min="1" max="7" man="1"/>
    <brk id="85" min="1" max="7" man="1"/>
  </rowBreaks>
</worksheet>
</file>

<file path=xl/worksheets/sheet12.xml><?xml version="1.0" encoding="utf-8"?>
<worksheet xmlns="http://schemas.openxmlformats.org/spreadsheetml/2006/main" xmlns:r="http://schemas.openxmlformats.org/officeDocument/2006/relationships">
  <dimension ref="B3:H8"/>
  <sheetViews>
    <sheetView zoomScalePageLayoutView="0" workbookViewId="0" topLeftCell="A1">
      <selection activeCell="G18" sqref="G18"/>
    </sheetView>
  </sheetViews>
  <sheetFormatPr defaultColWidth="9.140625" defaultRowHeight="15"/>
  <cols>
    <col min="2" max="2" width="13.7109375" style="0" customWidth="1"/>
    <col min="3" max="3" width="9.7109375" style="0" customWidth="1"/>
    <col min="4" max="4" width="10.7109375" style="0" customWidth="1"/>
  </cols>
  <sheetData>
    <row r="3" spans="2:8" ht="15">
      <c r="B3" s="383" t="s">
        <v>138</v>
      </c>
      <c r="C3" s="384"/>
      <c r="D3" s="384"/>
      <c r="E3" s="384"/>
      <c r="F3" s="384"/>
      <c r="G3" s="384"/>
      <c r="H3" s="385"/>
    </row>
    <row r="4" spans="2:8" ht="15">
      <c r="B4" s="386" t="s">
        <v>16</v>
      </c>
      <c r="C4" s="388" t="s">
        <v>47</v>
      </c>
      <c r="D4" s="389"/>
      <c r="E4" s="389"/>
      <c r="F4" s="389"/>
      <c r="G4" s="389"/>
      <c r="H4" s="390"/>
    </row>
    <row r="5" spans="2:8" ht="30" customHeight="1">
      <c r="B5" s="387"/>
      <c r="C5" s="174" t="s">
        <v>18</v>
      </c>
      <c r="D5" s="174" t="s">
        <v>19</v>
      </c>
      <c r="E5" s="174" t="s">
        <v>20</v>
      </c>
      <c r="F5" s="174" t="s">
        <v>21</v>
      </c>
      <c r="G5" s="174" t="s">
        <v>22</v>
      </c>
      <c r="H5" s="174" t="s">
        <v>14</v>
      </c>
    </row>
    <row r="6" spans="2:8" ht="30">
      <c r="B6" s="175" t="s">
        <v>24</v>
      </c>
      <c r="C6" s="115">
        <f>'VMT Multipliers'!P7</f>
        <v>0.0013630662020905925</v>
      </c>
      <c r="D6" s="115">
        <f>'VMT Multipliers'!Q7</f>
        <v>0.10495609756097561</v>
      </c>
      <c r="E6" s="115">
        <f>'VMT Multipliers'!R7</f>
        <v>0.01622048780487805</v>
      </c>
      <c r="F6" s="115">
        <f>'VMT Multipliers'!S7</f>
        <v>0.01812878048780488</v>
      </c>
      <c r="G6" s="115">
        <f>'VMT Multipliers'!T7</f>
        <v>0.0012267595818815332</v>
      </c>
      <c r="H6" s="115">
        <f>'VMT Multipliers'!U7</f>
        <v>0.14189519163763067</v>
      </c>
    </row>
    <row r="7" spans="2:8" ht="45">
      <c r="B7" s="175" t="s">
        <v>30</v>
      </c>
      <c r="C7" s="115">
        <f>'VMT Multipliers'!P13</f>
        <v>0.14312195121951218</v>
      </c>
      <c r="D7" s="115">
        <f>'VMT Multipliers'!Q13</f>
        <v>0.25066787456445994</v>
      </c>
      <c r="E7" s="115">
        <f>'VMT Multipliers'!R13</f>
        <v>0.015675261324041814</v>
      </c>
      <c r="F7" s="115">
        <f>'VMT Multipliers'!S13</f>
        <v>0.061201672473867604</v>
      </c>
      <c r="G7" s="115">
        <f>'VMT Multipliers'!T13</f>
        <v>0.03748432055749129</v>
      </c>
      <c r="H7" s="115">
        <f>'VMT Multipliers'!U13</f>
        <v>0.5081510801393729</v>
      </c>
    </row>
    <row r="8" spans="2:8" ht="45">
      <c r="B8" s="175" t="s">
        <v>32</v>
      </c>
      <c r="C8" s="115">
        <f>'VMT Multipliers'!P15</f>
        <v>0.5574940766550522</v>
      </c>
      <c r="D8" s="115">
        <f>'VMT Multipliers'!Q15</f>
        <v>0.27343108013937284</v>
      </c>
      <c r="E8" s="115">
        <f>'VMT Multipliers'!R15</f>
        <v>0.015675261324041814</v>
      </c>
      <c r="F8" s="115">
        <f>'VMT Multipliers'!S15</f>
        <v>0.061201672473867604</v>
      </c>
      <c r="G8" s="115">
        <f>'VMT Multipliers'!T15</f>
        <v>0.04143721254355401</v>
      </c>
      <c r="H8" s="115">
        <f>'VMT Multipliers'!U15</f>
        <v>0.9492393031358887</v>
      </c>
    </row>
  </sheetData>
  <sheetProtection/>
  <mergeCells count="3">
    <mergeCell ref="B3:H3"/>
    <mergeCell ref="B4:B5"/>
    <mergeCell ref="C4:H4"/>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3:AC22"/>
  <sheetViews>
    <sheetView zoomScalePageLayoutView="0" workbookViewId="0" topLeftCell="A1">
      <selection activeCell="P7" sqref="P7"/>
    </sheetView>
  </sheetViews>
  <sheetFormatPr defaultColWidth="9.140625" defaultRowHeight="15"/>
  <cols>
    <col min="21" max="28" width="9.140625" style="0" customWidth="1"/>
  </cols>
  <sheetData>
    <row r="3" spans="1:21" ht="19.5" customHeight="1">
      <c r="A3" s="311" t="s">
        <v>15</v>
      </c>
      <c r="B3" s="312"/>
      <c r="C3" s="312"/>
      <c r="D3" s="312"/>
      <c r="E3" s="312"/>
      <c r="F3" s="312"/>
      <c r="G3" s="313"/>
      <c r="H3" s="311" t="s">
        <v>49</v>
      </c>
      <c r="I3" s="312"/>
      <c r="J3" s="312"/>
      <c r="K3" s="312"/>
      <c r="L3" s="312"/>
      <c r="M3" s="312"/>
      <c r="N3" s="313"/>
      <c r="O3" s="311" t="s">
        <v>135</v>
      </c>
      <c r="P3" s="312"/>
      <c r="Q3" s="312"/>
      <c r="R3" s="312"/>
      <c r="S3" s="312"/>
      <c r="T3" s="312"/>
      <c r="U3" s="313"/>
    </row>
    <row r="4" spans="1:21" ht="18" customHeight="1">
      <c r="A4" s="314" t="s">
        <v>16</v>
      </c>
      <c r="B4" s="316" t="s">
        <v>17</v>
      </c>
      <c r="C4" s="317"/>
      <c r="D4" s="317"/>
      <c r="E4" s="317"/>
      <c r="F4" s="317"/>
      <c r="G4" s="318"/>
      <c r="H4" s="314" t="s">
        <v>16</v>
      </c>
      <c r="I4" s="316" t="s">
        <v>48</v>
      </c>
      <c r="J4" s="317"/>
      <c r="K4" s="317"/>
      <c r="L4" s="317"/>
      <c r="M4" s="317"/>
      <c r="N4" s="318"/>
      <c r="O4" s="314" t="s">
        <v>16</v>
      </c>
      <c r="P4" s="316" t="s">
        <v>47</v>
      </c>
      <c r="Q4" s="317"/>
      <c r="R4" s="317"/>
      <c r="S4" s="317"/>
      <c r="T4" s="317"/>
      <c r="U4" s="318"/>
    </row>
    <row r="5" spans="1:21" ht="21">
      <c r="A5" s="315"/>
      <c r="B5" s="2" t="s">
        <v>18</v>
      </c>
      <c r="C5" s="2" t="s">
        <v>19</v>
      </c>
      <c r="D5" s="2" t="s">
        <v>20</v>
      </c>
      <c r="E5" s="2" t="s">
        <v>21</v>
      </c>
      <c r="F5" s="2" t="s">
        <v>22</v>
      </c>
      <c r="G5" s="2" t="s">
        <v>14</v>
      </c>
      <c r="H5" s="315"/>
      <c r="I5" s="2" t="s">
        <v>18</v>
      </c>
      <c r="J5" s="2" t="s">
        <v>19</v>
      </c>
      <c r="K5" s="2" t="s">
        <v>20</v>
      </c>
      <c r="L5" s="2" t="s">
        <v>21</v>
      </c>
      <c r="M5" s="2" t="s">
        <v>22</v>
      </c>
      <c r="N5" s="2" t="s">
        <v>14</v>
      </c>
      <c r="O5" s="315"/>
      <c r="P5" s="2" t="s">
        <v>18</v>
      </c>
      <c r="Q5" s="2" t="s">
        <v>19</v>
      </c>
      <c r="R5" s="2" t="s">
        <v>20</v>
      </c>
      <c r="S5" s="2" t="s">
        <v>21</v>
      </c>
      <c r="T5" s="2" t="s">
        <v>22</v>
      </c>
      <c r="U5" s="2" t="s">
        <v>14</v>
      </c>
    </row>
    <row r="6" spans="1:21" ht="19.5">
      <c r="A6" s="3" t="s">
        <v>23</v>
      </c>
      <c r="B6" s="4">
        <v>0</v>
      </c>
      <c r="C6" s="4">
        <v>0.78</v>
      </c>
      <c r="D6" s="4">
        <v>0.98</v>
      </c>
      <c r="E6" s="5">
        <v>1.14</v>
      </c>
      <c r="F6" s="4">
        <v>0.01</v>
      </c>
      <c r="G6" s="4">
        <v>2.91</v>
      </c>
      <c r="H6" s="10" t="s">
        <v>23</v>
      </c>
      <c r="I6" s="11"/>
      <c r="J6" s="11"/>
      <c r="K6" s="11"/>
      <c r="L6" s="12"/>
      <c r="M6" s="11"/>
      <c r="N6" s="11"/>
      <c r="O6" s="3" t="s">
        <v>23</v>
      </c>
      <c r="P6" s="4"/>
      <c r="Q6" s="4"/>
      <c r="R6" s="4"/>
      <c r="S6" s="5"/>
      <c r="T6" s="4"/>
      <c r="U6" s="4"/>
    </row>
    <row r="7" spans="1:29" ht="19.5">
      <c r="A7" s="10" t="s">
        <v>24</v>
      </c>
      <c r="B7" s="11">
        <v>0.1</v>
      </c>
      <c r="C7" s="11">
        <v>7.7</v>
      </c>
      <c r="D7" s="11">
        <v>1.19</v>
      </c>
      <c r="E7" s="12">
        <v>1.33</v>
      </c>
      <c r="F7" s="11">
        <v>0.09</v>
      </c>
      <c r="G7" s="11">
        <v>10.41</v>
      </c>
      <c r="H7" s="10" t="s">
        <v>24</v>
      </c>
      <c r="I7" s="11">
        <f aca="true" t="shared" si="0" ref="I7:N7">B7/100</f>
        <v>0.001</v>
      </c>
      <c r="J7" s="11">
        <f t="shared" si="0"/>
        <v>0.077</v>
      </c>
      <c r="K7" s="11">
        <f t="shared" si="0"/>
        <v>0.011899999999999999</v>
      </c>
      <c r="L7" s="11">
        <f t="shared" si="0"/>
        <v>0.013300000000000001</v>
      </c>
      <c r="M7" s="11">
        <f t="shared" si="0"/>
        <v>0.0009</v>
      </c>
      <c r="N7" s="11">
        <f t="shared" si="0"/>
        <v>0.1041</v>
      </c>
      <c r="O7" s="7" t="s">
        <v>24</v>
      </c>
      <c r="P7" s="176">
        <f aca="true" t="shared" si="1" ref="P7:U7">I7*$W$18/$W$17</f>
        <v>0.0013630662020905925</v>
      </c>
      <c r="Q7" s="176">
        <f t="shared" si="1"/>
        <v>0.10495609756097561</v>
      </c>
      <c r="R7" s="176">
        <f t="shared" si="1"/>
        <v>0.01622048780487805</v>
      </c>
      <c r="S7" s="176">
        <f t="shared" si="1"/>
        <v>0.01812878048780488</v>
      </c>
      <c r="T7" s="176">
        <f t="shared" si="1"/>
        <v>0.0012267595818815332</v>
      </c>
      <c r="U7" s="176">
        <f t="shared" si="1"/>
        <v>0.14189519163763067</v>
      </c>
      <c r="AC7" t="s">
        <v>85</v>
      </c>
    </row>
    <row r="8" spans="1:21" ht="39">
      <c r="A8" s="10" t="s">
        <v>25</v>
      </c>
      <c r="B8" s="11">
        <v>1</v>
      </c>
      <c r="C8" s="11">
        <v>2.45</v>
      </c>
      <c r="D8" s="11">
        <v>0.47</v>
      </c>
      <c r="E8" s="12">
        <v>3.85</v>
      </c>
      <c r="F8" s="11">
        <v>0.09</v>
      </c>
      <c r="G8" s="11">
        <v>7.86</v>
      </c>
      <c r="H8" s="10" t="s">
        <v>25</v>
      </c>
      <c r="I8" s="11"/>
      <c r="J8" s="11"/>
      <c r="K8" s="11"/>
      <c r="L8" s="12"/>
      <c r="M8" s="11"/>
      <c r="N8" s="11"/>
      <c r="O8" s="3" t="s">
        <v>25</v>
      </c>
      <c r="P8" s="4"/>
      <c r="Q8" s="4"/>
      <c r="R8" s="4"/>
      <c r="S8" s="5"/>
      <c r="T8" s="4"/>
      <c r="U8" s="4"/>
    </row>
    <row r="9" spans="1:21" ht="39">
      <c r="A9" s="10" t="s">
        <v>26</v>
      </c>
      <c r="B9" s="11">
        <v>3.1</v>
      </c>
      <c r="C9" s="11">
        <v>24.48</v>
      </c>
      <c r="D9" s="11">
        <v>0.86</v>
      </c>
      <c r="E9" s="12">
        <v>4.49</v>
      </c>
      <c r="F9" s="11">
        <v>1.5</v>
      </c>
      <c r="G9" s="11">
        <v>34.43</v>
      </c>
      <c r="H9" s="10" t="s">
        <v>26</v>
      </c>
      <c r="I9" s="11"/>
      <c r="J9" s="11"/>
      <c r="K9" s="11"/>
      <c r="L9" s="12"/>
      <c r="M9" s="11"/>
      <c r="N9" s="11"/>
      <c r="O9" s="3" t="s">
        <v>26</v>
      </c>
      <c r="P9" s="4"/>
      <c r="Q9" s="4"/>
      <c r="R9" s="4"/>
      <c r="S9" s="5"/>
      <c r="T9" s="4"/>
      <c r="U9" s="4"/>
    </row>
    <row r="10" spans="1:21" ht="39">
      <c r="A10" s="10" t="s">
        <v>27</v>
      </c>
      <c r="B10" s="11">
        <v>5.6</v>
      </c>
      <c r="C10" s="11">
        <v>3.27</v>
      </c>
      <c r="D10" s="11">
        <v>0.47</v>
      </c>
      <c r="E10" s="12">
        <v>3.85</v>
      </c>
      <c r="F10" s="11">
        <v>0.11</v>
      </c>
      <c r="G10" s="11">
        <v>13.3</v>
      </c>
      <c r="H10" s="10" t="s">
        <v>27</v>
      </c>
      <c r="I10" s="11"/>
      <c r="J10" s="11"/>
      <c r="K10" s="11"/>
      <c r="L10" s="12"/>
      <c r="M10" s="11"/>
      <c r="N10" s="11"/>
      <c r="O10" s="3" t="s">
        <v>27</v>
      </c>
      <c r="P10" s="4"/>
      <c r="Q10" s="4"/>
      <c r="R10" s="4"/>
      <c r="S10" s="5"/>
      <c r="T10" s="4"/>
      <c r="U10" s="4"/>
    </row>
    <row r="11" spans="1:21" ht="39">
      <c r="A11" s="10" t="s">
        <v>28</v>
      </c>
      <c r="B11" s="11">
        <v>18.1</v>
      </c>
      <c r="C11" s="11">
        <v>32.64</v>
      </c>
      <c r="D11" s="11">
        <v>0.86</v>
      </c>
      <c r="E11" s="12">
        <v>4.49</v>
      </c>
      <c r="F11" s="11">
        <v>1.68</v>
      </c>
      <c r="G11" s="11">
        <v>57.77</v>
      </c>
      <c r="H11" s="10" t="s">
        <v>28</v>
      </c>
      <c r="I11" s="11"/>
      <c r="J11" s="11"/>
      <c r="K11" s="11"/>
      <c r="L11" s="12"/>
      <c r="M11" s="11"/>
      <c r="N11" s="11"/>
      <c r="O11" s="3" t="s">
        <v>28</v>
      </c>
      <c r="P11" s="4"/>
      <c r="Q11" s="4"/>
      <c r="R11" s="4"/>
      <c r="S11" s="5"/>
      <c r="T11" s="4"/>
      <c r="U11" s="4"/>
    </row>
    <row r="12" spans="1:21" ht="39">
      <c r="A12" s="10" t="s">
        <v>29</v>
      </c>
      <c r="B12" s="11">
        <v>3.3</v>
      </c>
      <c r="C12" s="11">
        <v>1.88</v>
      </c>
      <c r="D12" s="11">
        <v>0.88</v>
      </c>
      <c r="E12" s="12">
        <v>3.85</v>
      </c>
      <c r="F12" s="11">
        <v>0.17</v>
      </c>
      <c r="G12" s="11">
        <v>10.08</v>
      </c>
      <c r="H12" s="10" t="s">
        <v>29</v>
      </c>
      <c r="I12" s="11"/>
      <c r="J12" s="11"/>
      <c r="K12" s="11"/>
      <c r="L12" s="12"/>
      <c r="M12" s="11"/>
      <c r="N12" s="11"/>
      <c r="O12" s="3" t="s">
        <v>29</v>
      </c>
      <c r="P12" s="4"/>
      <c r="Q12" s="4"/>
      <c r="R12" s="4"/>
      <c r="S12" s="5"/>
      <c r="T12" s="4"/>
      <c r="U12" s="4"/>
    </row>
    <row r="13" spans="1:29" ht="39">
      <c r="A13" s="10" t="s">
        <v>30</v>
      </c>
      <c r="B13" s="11">
        <v>10.5</v>
      </c>
      <c r="C13" s="11">
        <v>18.39</v>
      </c>
      <c r="D13" s="11">
        <v>1.15</v>
      </c>
      <c r="E13" s="12">
        <v>4.49</v>
      </c>
      <c r="F13" s="11">
        <v>2.75</v>
      </c>
      <c r="G13" s="11">
        <v>37.28</v>
      </c>
      <c r="H13" s="10" t="s">
        <v>30</v>
      </c>
      <c r="I13" s="11">
        <f aca="true" t="shared" si="2" ref="I13:N13">B13/100</f>
        <v>0.105</v>
      </c>
      <c r="J13" s="11">
        <f t="shared" si="2"/>
        <v>0.1839</v>
      </c>
      <c r="K13" s="11">
        <f t="shared" si="2"/>
        <v>0.0115</v>
      </c>
      <c r="L13" s="11">
        <f t="shared" si="2"/>
        <v>0.0449</v>
      </c>
      <c r="M13" s="11">
        <f t="shared" si="2"/>
        <v>0.0275</v>
      </c>
      <c r="N13" s="11">
        <f t="shared" si="2"/>
        <v>0.3728</v>
      </c>
      <c r="O13" s="7" t="s">
        <v>30</v>
      </c>
      <c r="P13" s="176">
        <f aca="true" t="shared" si="3" ref="P13:U13">I13*$W$18/$W$17</f>
        <v>0.14312195121951218</v>
      </c>
      <c r="Q13" s="176">
        <f t="shared" si="3"/>
        <v>0.25066787456445994</v>
      </c>
      <c r="R13" s="176">
        <f t="shared" si="3"/>
        <v>0.015675261324041814</v>
      </c>
      <c r="S13" s="176">
        <f t="shared" si="3"/>
        <v>0.061201672473867604</v>
      </c>
      <c r="T13" s="176">
        <f t="shared" si="3"/>
        <v>0.03748432055749129</v>
      </c>
      <c r="U13" s="176">
        <f t="shared" si="3"/>
        <v>0.5081510801393729</v>
      </c>
      <c r="AC13" t="s">
        <v>98</v>
      </c>
    </row>
    <row r="14" spans="1:21" ht="39">
      <c r="A14" s="10" t="s">
        <v>31</v>
      </c>
      <c r="B14" s="11">
        <v>12.7</v>
      </c>
      <c r="C14" s="11">
        <v>2.23</v>
      </c>
      <c r="D14" s="11">
        <v>0.88</v>
      </c>
      <c r="E14" s="12">
        <v>3.85</v>
      </c>
      <c r="F14" s="11">
        <v>0.19</v>
      </c>
      <c r="G14" s="11">
        <v>19.85</v>
      </c>
      <c r="H14" s="10" t="s">
        <v>31</v>
      </c>
      <c r="I14" s="11"/>
      <c r="J14" s="11"/>
      <c r="K14" s="11"/>
      <c r="L14" s="12"/>
      <c r="M14" s="11"/>
      <c r="N14" s="11"/>
      <c r="O14" s="3" t="s">
        <v>31</v>
      </c>
      <c r="P14" s="4"/>
      <c r="Q14" s="4"/>
      <c r="R14" s="4"/>
      <c r="S14" s="5"/>
      <c r="T14" s="4"/>
      <c r="U14" s="4"/>
    </row>
    <row r="15" spans="1:29" ht="39">
      <c r="A15" s="10" t="s">
        <v>32</v>
      </c>
      <c r="B15" s="11">
        <v>40.9</v>
      </c>
      <c r="C15" s="11">
        <v>20.06</v>
      </c>
      <c r="D15" s="11">
        <v>1.15</v>
      </c>
      <c r="E15" s="12">
        <v>4.49</v>
      </c>
      <c r="F15" s="11">
        <v>3.04</v>
      </c>
      <c r="G15" s="11">
        <v>69.64</v>
      </c>
      <c r="H15" s="10" t="s">
        <v>32</v>
      </c>
      <c r="I15" s="11">
        <f aca="true" t="shared" si="4" ref="I15:N15">B15/100</f>
        <v>0.409</v>
      </c>
      <c r="J15" s="11">
        <f t="shared" si="4"/>
        <v>0.2006</v>
      </c>
      <c r="K15" s="11">
        <f t="shared" si="4"/>
        <v>0.0115</v>
      </c>
      <c r="L15" s="11">
        <f t="shared" si="4"/>
        <v>0.0449</v>
      </c>
      <c r="M15" s="11">
        <f t="shared" si="4"/>
        <v>0.0304</v>
      </c>
      <c r="N15" s="11">
        <f t="shared" si="4"/>
        <v>0.6964</v>
      </c>
      <c r="O15" s="7" t="s">
        <v>32</v>
      </c>
      <c r="P15" s="176">
        <f aca="true" t="shared" si="5" ref="P15:U15">I15*$W$18/$W$17</f>
        <v>0.5574940766550522</v>
      </c>
      <c r="Q15" s="176">
        <f t="shared" si="5"/>
        <v>0.27343108013937284</v>
      </c>
      <c r="R15" s="176">
        <f t="shared" si="5"/>
        <v>0.015675261324041814</v>
      </c>
      <c r="S15" s="176">
        <f t="shared" si="5"/>
        <v>0.061201672473867604</v>
      </c>
      <c r="T15" s="176">
        <f t="shared" si="5"/>
        <v>0.04143721254355401</v>
      </c>
      <c r="U15" s="176">
        <f t="shared" si="5"/>
        <v>0.9492393031358887</v>
      </c>
      <c r="AC15" t="s">
        <v>84</v>
      </c>
    </row>
    <row r="16" spans="1:7" ht="29.25" customHeight="1" thickBot="1">
      <c r="A16" s="308" t="s">
        <v>33</v>
      </c>
      <c r="B16" s="309"/>
      <c r="C16" s="309"/>
      <c r="D16" s="309"/>
      <c r="E16" s="309"/>
      <c r="F16" s="309"/>
      <c r="G16" s="310"/>
    </row>
    <row r="17" spans="1:25" ht="15">
      <c r="A17" t="s">
        <v>34</v>
      </c>
      <c r="H17" t="s">
        <v>46</v>
      </c>
      <c r="W17" s="38">
        <v>172.2</v>
      </c>
      <c r="X17" s="110" t="s">
        <v>100</v>
      </c>
      <c r="Y17" s="111"/>
    </row>
    <row r="18" spans="23:25" ht="15.75" thickBot="1">
      <c r="W18" s="37">
        <v>234.72</v>
      </c>
      <c r="X18" s="271" t="s">
        <v>211</v>
      </c>
      <c r="Y18" s="112"/>
    </row>
    <row r="19" spans="23:28" ht="21">
      <c r="W19" s="113" t="s">
        <v>18</v>
      </c>
      <c r="X19" s="113" t="s">
        <v>19</v>
      </c>
      <c r="Y19" s="113" t="s">
        <v>20</v>
      </c>
      <c r="Z19" s="166" t="s">
        <v>21</v>
      </c>
      <c r="AA19" s="166" t="s">
        <v>22</v>
      </c>
      <c r="AB19" s="166" t="s">
        <v>14</v>
      </c>
    </row>
    <row r="20" spans="22:28" ht="19.5">
      <c r="V20" s="114" t="s">
        <v>24</v>
      </c>
      <c r="W20" s="115">
        <f aca="true" t="shared" si="6" ref="W20:AB20">I7*$W$18/$W$17</f>
        <v>0.0013630662020905925</v>
      </c>
      <c r="X20" s="115">
        <f t="shared" si="6"/>
        <v>0.10495609756097561</v>
      </c>
      <c r="Y20" s="115">
        <f t="shared" si="6"/>
        <v>0.01622048780487805</v>
      </c>
      <c r="Z20" s="115">
        <f t="shared" si="6"/>
        <v>0.01812878048780488</v>
      </c>
      <c r="AA20" s="115">
        <f t="shared" si="6"/>
        <v>0.0012267595818815332</v>
      </c>
      <c r="AB20" s="115">
        <f t="shared" si="6"/>
        <v>0.14189519163763067</v>
      </c>
    </row>
    <row r="21" spans="22:28" ht="39">
      <c r="V21" s="114" t="s">
        <v>30</v>
      </c>
      <c r="W21" s="115">
        <f aca="true" t="shared" si="7" ref="W21:AB21">I13*$W$18/$W$17</f>
        <v>0.14312195121951218</v>
      </c>
      <c r="X21" s="115">
        <f t="shared" si="7"/>
        <v>0.25066787456445994</v>
      </c>
      <c r="Y21" s="115">
        <f t="shared" si="7"/>
        <v>0.015675261324041814</v>
      </c>
      <c r="Z21" s="115">
        <f t="shared" si="7"/>
        <v>0.061201672473867604</v>
      </c>
      <c r="AA21" s="115">
        <f t="shared" si="7"/>
        <v>0.03748432055749129</v>
      </c>
      <c r="AB21" s="115">
        <f t="shared" si="7"/>
        <v>0.5081510801393729</v>
      </c>
    </row>
    <row r="22" spans="22:28" ht="39">
      <c r="V22" s="114" t="s">
        <v>32</v>
      </c>
      <c r="W22" s="115">
        <f aca="true" t="shared" si="8" ref="W22:AB22">I15*$W$18/$W$17</f>
        <v>0.5574940766550522</v>
      </c>
      <c r="X22" s="115">
        <f t="shared" si="8"/>
        <v>0.27343108013937284</v>
      </c>
      <c r="Y22" s="115">
        <f t="shared" si="8"/>
        <v>0.015675261324041814</v>
      </c>
      <c r="Z22" s="115">
        <f t="shared" si="8"/>
        <v>0.061201672473867604</v>
      </c>
      <c r="AA22" s="115">
        <f t="shared" si="8"/>
        <v>0.04143721254355401</v>
      </c>
      <c r="AB22" s="115">
        <f t="shared" si="8"/>
        <v>0.9492393031358887</v>
      </c>
    </row>
  </sheetData>
  <sheetProtection/>
  <mergeCells count="10">
    <mergeCell ref="A16:G16"/>
    <mergeCell ref="H3:N3"/>
    <mergeCell ref="H4:H5"/>
    <mergeCell ref="I4:N4"/>
    <mergeCell ref="O3:U3"/>
    <mergeCell ref="O4:O5"/>
    <mergeCell ref="P4:U4"/>
    <mergeCell ref="A3:G3"/>
    <mergeCell ref="A4:A5"/>
    <mergeCell ref="B4:G4"/>
  </mergeCells>
  <hyperlinks>
    <hyperlink ref="A17" r:id="rId1" display="http://www.fhwa.dot.gov/policy/hcas/addendum.htm"/>
  </hyperlinks>
  <printOptions/>
  <pageMargins left="0.7" right="0.7" top="0.75" bottom="0.75" header="0.3" footer="0.3"/>
  <pageSetup horizontalDpi="600" verticalDpi="600" orientation="portrait" r:id="rId2"/>
</worksheet>
</file>

<file path=xl/worksheets/sheet3.xml><?xml version="1.0" encoding="utf-8"?>
<worksheet xmlns="http://schemas.openxmlformats.org/spreadsheetml/2006/main" xmlns:r="http://schemas.openxmlformats.org/officeDocument/2006/relationships">
  <dimension ref="B4:F30"/>
  <sheetViews>
    <sheetView workbookViewId="0" topLeftCell="A1">
      <selection activeCell="H12" sqref="H12"/>
    </sheetView>
  </sheetViews>
  <sheetFormatPr defaultColWidth="9.140625" defaultRowHeight="15"/>
  <cols>
    <col min="2" max="2" width="13.28125" style="0" customWidth="1"/>
    <col min="3" max="3" width="32.8515625" style="0" customWidth="1"/>
    <col min="4" max="5" width="11.421875" style="0" customWidth="1"/>
    <col min="6" max="6" width="52.57421875" style="0" customWidth="1"/>
  </cols>
  <sheetData>
    <row r="3" ht="15.75" thickBot="1"/>
    <row r="4" spans="2:6" s="272" customFormat="1" ht="30.75" thickBot="1">
      <c r="B4" s="319" t="s">
        <v>202</v>
      </c>
      <c r="C4" s="320"/>
      <c r="D4" s="306" t="s">
        <v>195</v>
      </c>
      <c r="E4" s="307" t="s">
        <v>196</v>
      </c>
      <c r="F4" s="288" t="s">
        <v>197</v>
      </c>
    </row>
    <row r="5" spans="2:6" ht="15">
      <c r="B5" s="303" t="s">
        <v>206</v>
      </c>
      <c r="C5" s="304"/>
      <c r="D5" s="304"/>
      <c r="E5" s="305"/>
      <c r="F5" s="321" t="s">
        <v>34</v>
      </c>
    </row>
    <row r="6" spans="2:6" ht="15">
      <c r="B6" s="291" t="s">
        <v>199</v>
      </c>
      <c r="C6" s="274"/>
      <c r="D6" s="274"/>
      <c r="E6" s="292"/>
      <c r="F6" s="321"/>
    </row>
    <row r="7" spans="2:6" ht="15">
      <c r="B7" s="293"/>
      <c r="C7" s="278" t="s">
        <v>18</v>
      </c>
      <c r="D7" s="281">
        <f>'VMT Multipliers'!I7</f>
        <v>0.001</v>
      </c>
      <c r="E7" s="294">
        <f>'VMT Multipliers'!P7</f>
        <v>0.0013630662020905925</v>
      </c>
      <c r="F7" s="321"/>
    </row>
    <row r="8" spans="2:6" ht="15">
      <c r="B8" s="291"/>
      <c r="C8" s="275" t="s">
        <v>19</v>
      </c>
      <c r="D8" s="281">
        <f>'VMT Multipliers'!J7</f>
        <v>0.077</v>
      </c>
      <c r="E8" s="294">
        <f>'VMT Multipliers'!Q7</f>
        <v>0.10495609756097561</v>
      </c>
      <c r="F8" s="321"/>
    </row>
    <row r="9" spans="2:6" ht="15">
      <c r="B9" s="291"/>
      <c r="C9" s="275" t="s">
        <v>20</v>
      </c>
      <c r="D9" s="281">
        <f>'VMT Multipliers'!K7</f>
        <v>0.011899999999999999</v>
      </c>
      <c r="E9" s="294">
        <f>'VMT Multipliers'!R7</f>
        <v>0.01622048780487805</v>
      </c>
      <c r="F9" s="321"/>
    </row>
    <row r="10" spans="2:6" ht="15">
      <c r="B10" s="291"/>
      <c r="C10" s="275" t="s">
        <v>21</v>
      </c>
      <c r="D10" s="281">
        <f>'VMT Multipliers'!M7</f>
        <v>0.0009</v>
      </c>
      <c r="E10" s="294">
        <f>'VMT Multipliers'!S7</f>
        <v>0.01812878048780488</v>
      </c>
      <c r="F10" s="321"/>
    </row>
    <row r="11" spans="2:6" ht="15">
      <c r="B11" s="291"/>
      <c r="C11" s="275" t="s">
        <v>22</v>
      </c>
      <c r="D11" s="281">
        <f>'VMT Multipliers'!M7</f>
        <v>0.0009</v>
      </c>
      <c r="E11" s="294">
        <f>'VMT Multipliers'!T7</f>
        <v>0.0012267595818815332</v>
      </c>
      <c r="F11" s="321"/>
    </row>
    <row r="12" spans="2:6" ht="15">
      <c r="B12" s="291" t="s">
        <v>200</v>
      </c>
      <c r="C12" s="274"/>
      <c r="D12" s="274"/>
      <c r="E12" s="292"/>
      <c r="F12" s="321"/>
    </row>
    <row r="13" spans="2:6" ht="15">
      <c r="B13" s="293"/>
      <c r="C13" s="278" t="s">
        <v>18</v>
      </c>
      <c r="D13" s="281">
        <f>'VMT Multipliers'!I13</f>
        <v>0.105</v>
      </c>
      <c r="E13" s="294">
        <f>'VMT Multipliers'!P13</f>
        <v>0.14312195121951218</v>
      </c>
      <c r="F13" s="321"/>
    </row>
    <row r="14" spans="2:6" ht="15">
      <c r="B14" s="291"/>
      <c r="C14" s="275" t="s">
        <v>19</v>
      </c>
      <c r="D14" s="281">
        <f>'VMT Multipliers'!J13</f>
        <v>0.1839</v>
      </c>
      <c r="E14" s="294">
        <f>'VMT Multipliers'!Q13</f>
        <v>0.25066787456445994</v>
      </c>
      <c r="F14" s="321"/>
    </row>
    <row r="15" spans="2:6" ht="15">
      <c r="B15" s="291"/>
      <c r="C15" s="275" t="s">
        <v>20</v>
      </c>
      <c r="D15" s="281">
        <f>'VMT Multipliers'!K13</f>
        <v>0.0115</v>
      </c>
      <c r="E15" s="294">
        <f>'VMT Multipliers'!R13</f>
        <v>0.015675261324041814</v>
      </c>
      <c r="F15" s="321"/>
    </row>
    <row r="16" spans="2:6" ht="15">
      <c r="B16" s="291"/>
      <c r="C16" s="275" t="s">
        <v>21</v>
      </c>
      <c r="D16" s="281">
        <f>'VMT Multipliers'!M13</f>
        <v>0.0275</v>
      </c>
      <c r="E16" s="294">
        <f>'VMT Multipliers'!S13</f>
        <v>0.061201672473867604</v>
      </c>
      <c r="F16" s="321"/>
    </row>
    <row r="17" spans="2:6" ht="15">
      <c r="B17" s="291"/>
      <c r="C17" s="275" t="s">
        <v>22</v>
      </c>
      <c r="D17" s="281">
        <f>'VMT Multipliers'!M13</f>
        <v>0.0275</v>
      </c>
      <c r="E17" s="294">
        <f>'VMT Multipliers'!T13</f>
        <v>0.03748432055749129</v>
      </c>
      <c r="F17" s="321"/>
    </row>
    <row r="18" spans="2:6" ht="15">
      <c r="B18" s="291" t="s">
        <v>201</v>
      </c>
      <c r="C18" s="274"/>
      <c r="D18" s="274"/>
      <c r="E18" s="292"/>
      <c r="F18" s="321"/>
    </row>
    <row r="19" spans="2:6" ht="15">
      <c r="B19" s="293"/>
      <c r="C19" s="278" t="s">
        <v>18</v>
      </c>
      <c r="D19" s="281">
        <f>'VMT Multipliers'!I15</f>
        <v>0.409</v>
      </c>
      <c r="E19" s="294">
        <f>'VMT Multipliers'!P15</f>
        <v>0.5574940766550522</v>
      </c>
      <c r="F19" s="321"/>
    </row>
    <row r="20" spans="2:6" ht="15">
      <c r="B20" s="291"/>
      <c r="C20" s="275" t="s">
        <v>19</v>
      </c>
      <c r="D20" s="281">
        <f>'VMT Multipliers'!J15</f>
        <v>0.2006</v>
      </c>
      <c r="E20" s="294">
        <f>'VMT Multipliers'!Q15</f>
        <v>0.27343108013937284</v>
      </c>
      <c r="F20" s="321"/>
    </row>
    <row r="21" spans="2:6" ht="15">
      <c r="B21" s="291"/>
      <c r="C21" s="275" t="s">
        <v>20</v>
      </c>
      <c r="D21" s="281">
        <f>'VMT Multipliers'!K15</f>
        <v>0.0115</v>
      </c>
      <c r="E21" s="294">
        <f>'VMT Multipliers'!R15</f>
        <v>0.015675261324041814</v>
      </c>
      <c r="F21" s="321"/>
    </row>
    <row r="22" spans="2:6" ht="15">
      <c r="B22" s="291"/>
      <c r="C22" s="275" t="s">
        <v>21</v>
      </c>
      <c r="D22" s="281">
        <f>'VMT Multipliers'!M15</f>
        <v>0.0304</v>
      </c>
      <c r="E22" s="294">
        <f>'VMT Multipliers'!S15</f>
        <v>0.061201672473867604</v>
      </c>
      <c r="F22" s="321"/>
    </row>
    <row r="23" spans="2:6" ht="15">
      <c r="B23" s="291"/>
      <c r="C23" s="275" t="s">
        <v>22</v>
      </c>
      <c r="D23" s="281">
        <f>'VMT Multipliers'!M15</f>
        <v>0.0304</v>
      </c>
      <c r="E23" s="294">
        <f>'VMT Multipliers'!T15</f>
        <v>0.04143721254355401</v>
      </c>
      <c r="F23" s="321"/>
    </row>
    <row r="24" spans="2:6" ht="15">
      <c r="B24" s="289" t="s">
        <v>198</v>
      </c>
      <c r="C24" s="285"/>
      <c r="D24" s="285"/>
      <c r="E24" s="290"/>
      <c r="F24" s="321" t="s">
        <v>203</v>
      </c>
    </row>
    <row r="25" spans="2:6" ht="15">
      <c r="B25" s="291" t="s">
        <v>204</v>
      </c>
      <c r="C25" s="275"/>
      <c r="D25" s="282">
        <v>2.08</v>
      </c>
      <c r="E25" s="295">
        <v>2.06</v>
      </c>
      <c r="F25" s="321"/>
    </row>
    <row r="26" spans="2:6" ht="15">
      <c r="B26" s="296" t="s">
        <v>205</v>
      </c>
      <c r="C26" s="286"/>
      <c r="D26" s="285"/>
      <c r="E26" s="290"/>
      <c r="F26" s="321" t="s">
        <v>181</v>
      </c>
    </row>
    <row r="27" spans="2:6" ht="15">
      <c r="B27" s="291" t="s">
        <v>207</v>
      </c>
      <c r="C27" s="275"/>
      <c r="D27" s="284">
        <v>86.42</v>
      </c>
      <c r="E27" s="297">
        <v>356.5</v>
      </c>
      <c r="F27" s="321"/>
    </row>
    <row r="28" spans="2:6" ht="15">
      <c r="B28" s="291" t="s">
        <v>208</v>
      </c>
      <c r="C28" s="275"/>
      <c r="D28" s="283">
        <v>29.94</v>
      </c>
      <c r="E28" s="298">
        <v>35.98</v>
      </c>
      <c r="F28" s="321"/>
    </row>
    <row r="29" spans="2:6" ht="15">
      <c r="B29" s="291" t="s">
        <v>209</v>
      </c>
      <c r="C29" s="275"/>
      <c r="D29" s="283">
        <v>8.3</v>
      </c>
      <c r="E29" s="298">
        <v>11.69</v>
      </c>
      <c r="F29" s="321"/>
    </row>
    <row r="30" spans="2:6" ht="15.75" thickBot="1">
      <c r="B30" s="299" t="s">
        <v>210</v>
      </c>
      <c r="C30" s="300"/>
      <c r="D30" s="301">
        <v>9</v>
      </c>
      <c r="E30" s="302">
        <v>12.68</v>
      </c>
      <c r="F30" s="321"/>
    </row>
  </sheetData>
  <sheetProtection/>
  <mergeCells count="4">
    <mergeCell ref="B4:C4"/>
    <mergeCell ref="F5:F23"/>
    <mergeCell ref="F24:F25"/>
    <mergeCell ref="F26:F30"/>
  </mergeCells>
  <hyperlinks>
    <hyperlink ref="F5" r:id="rId1" display="http://www.fhwa.dot.gov/policy/hcas/addendum.htm"/>
    <hyperlink ref="F24" r:id="rId2" display="http://www.eia.gov/"/>
    <hyperlink ref="F26" r:id="rId3" display="http://greenvalues.cnt.org/national/benefits_detail.php"/>
  </hyperlinks>
  <printOptions horizontalCentered="1"/>
  <pageMargins left="0.7" right="0.7" top="0.75" bottom="0.75" header="0.3" footer="0.3"/>
  <pageSetup horizontalDpi="600" verticalDpi="600" orientation="portrait" r:id="rId4"/>
</worksheet>
</file>

<file path=xl/worksheets/sheet4.xml><?xml version="1.0" encoding="utf-8"?>
<worksheet xmlns="http://schemas.openxmlformats.org/spreadsheetml/2006/main" xmlns:r="http://schemas.openxmlformats.org/officeDocument/2006/relationships">
  <dimension ref="A1:BH40"/>
  <sheetViews>
    <sheetView zoomScalePageLayoutView="0" workbookViewId="0" topLeftCell="A19">
      <selection activeCell="W52" sqref="W52"/>
    </sheetView>
  </sheetViews>
  <sheetFormatPr defaultColWidth="9.140625" defaultRowHeight="15"/>
  <cols>
    <col min="5" max="5" width="11.421875" style="0" customWidth="1"/>
    <col min="6" max="6" width="11.7109375" style="0" customWidth="1"/>
    <col min="7" max="7" width="10.00390625" style="0" customWidth="1"/>
    <col min="8" max="8" width="11.00390625" style="0" customWidth="1"/>
    <col min="9" max="11" width="9.140625" style="0" customWidth="1"/>
    <col min="12" max="12" width="10.00390625" style="0" customWidth="1"/>
    <col min="13" max="13" width="11.00390625" style="0" customWidth="1"/>
    <col min="14" max="16" width="9.140625" style="0" customWidth="1"/>
    <col min="17" max="17" width="12.57421875" style="0" bestFit="1" customWidth="1"/>
    <col min="18" max="18" width="10.57421875" style="0" bestFit="1" customWidth="1"/>
    <col min="19" max="22" width="12.57421875" style="0" bestFit="1" customWidth="1"/>
    <col min="23" max="23" width="10.57421875" style="0" bestFit="1" customWidth="1"/>
    <col min="24" max="29" width="11.57421875" style="0" bestFit="1" customWidth="1"/>
    <col min="30" max="30" width="10.57421875" style="0" bestFit="1" customWidth="1"/>
    <col min="31" max="31" width="11.57421875" style="0" bestFit="1" customWidth="1"/>
    <col min="32" max="33" width="16.140625" style="0" customWidth="1"/>
    <col min="34" max="34" width="12.57421875" style="0" customWidth="1"/>
    <col min="35" max="35" width="12.140625" style="0" customWidth="1"/>
    <col min="36" max="36" width="15.140625" style="0" customWidth="1"/>
    <col min="37" max="38" width="15.7109375" style="0" customWidth="1"/>
    <col min="39" max="40" width="13.00390625" style="0" customWidth="1"/>
    <col min="42" max="43" width="12.57421875" style="0" bestFit="1" customWidth="1"/>
    <col min="44" max="46" width="11.57421875" style="0" bestFit="1" customWidth="1"/>
    <col min="47" max="48" width="12.8515625" style="0" customWidth="1"/>
    <col min="49" max="49" width="11.7109375" style="0" customWidth="1"/>
    <col min="50" max="50" width="12.421875" style="0" customWidth="1"/>
    <col min="52" max="52" width="12.57421875" style="0" bestFit="1" customWidth="1"/>
    <col min="53" max="53" width="12.421875" style="0" customWidth="1"/>
    <col min="54" max="55" width="11.57421875" style="0" bestFit="1" customWidth="1"/>
    <col min="56" max="56" width="10.57421875" style="0" bestFit="1" customWidth="1"/>
    <col min="57" max="57" width="13.00390625" style="0" customWidth="1"/>
    <col min="58" max="58" width="12.8515625" style="0" customWidth="1"/>
    <col min="59" max="60" width="11.7109375" style="0" customWidth="1"/>
  </cols>
  <sheetData>
    <row r="1" spans="5:60" ht="15.75" thickBot="1">
      <c r="E1" s="339" t="s">
        <v>56</v>
      </c>
      <c r="F1" s="340"/>
      <c r="G1" s="341"/>
      <c r="H1" s="341"/>
      <c r="I1" s="341"/>
      <c r="J1" s="341"/>
      <c r="K1" s="341"/>
      <c r="L1" s="341"/>
      <c r="M1" s="341"/>
      <c r="N1" s="341"/>
      <c r="O1" s="341"/>
      <c r="P1" s="341"/>
      <c r="Q1" s="341"/>
      <c r="R1" s="341"/>
      <c r="S1" s="341"/>
      <c r="T1" s="341"/>
      <c r="U1" s="341"/>
      <c r="V1" s="341"/>
      <c r="W1" s="341"/>
      <c r="X1" s="341"/>
      <c r="Y1" s="341"/>
      <c r="Z1" s="341"/>
      <c r="AA1" s="341"/>
      <c r="AB1" s="341"/>
      <c r="AC1" s="341"/>
      <c r="AD1" s="341"/>
      <c r="AE1" s="341"/>
      <c r="AF1" s="341"/>
      <c r="AG1" s="341"/>
      <c r="AH1" s="341"/>
      <c r="AI1" s="341"/>
      <c r="AJ1" s="341"/>
      <c r="AK1" s="341"/>
      <c r="AL1" s="341"/>
      <c r="AM1" s="341"/>
      <c r="AN1" s="342"/>
      <c r="AO1" s="333" t="s">
        <v>50</v>
      </c>
      <c r="AP1" s="336" t="s">
        <v>51</v>
      </c>
      <c r="AQ1" s="337"/>
      <c r="AR1" s="337"/>
      <c r="AS1" s="337"/>
      <c r="AT1" s="337"/>
      <c r="AU1" s="337"/>
      <c r="AV1" s="337"/>
      <c r="AW1" s="337"/>
      <c r="AX1" s="338"/>
      <c r="AY1" s="333" t="s">
        <v>52</v>
      </c>
      <c r="AZ1" s="336" t="s">
        <v>53</v>
      </c>
      <c r="BA1" s="337"/>
      <c r="BB1" s="337"/>
      <c r="BC1" s="337"/>
      <c r="BD1" s="337"/>
      <c r="BE1" s="337"/>
      <c r="BF1" s="337"/>
      <c r="BG1" s="337"/>
      <c r="BH1" s="338"/>
    </row>
    <row r="2" spans="1:60" ht="15" customHeight="1">
      <c r="A2" s="322" t="s">
        <v>81</v>
      </c>
      <c r="B2" s="343" t="s">
        <v>82</v>
      </c>
      <c r="C2" s="330" t="s">
        <v>39</v>
      </c>
      <c r="D2" s="331"/>
      <c r="E2" s="332" t="s">
        <v>40</v>
      </c>
      <c r="F2" s="331"/>
      <c r="G2" s="327" t="s">
        <v>36</v>
      </c>
      <c r="H2" s="327"/>
      <c r="I2" s="327"/>
      <c r="J2" s="327"/>
      <c r="K2" s="327"/>
      <c r="L2" s="327" t="s">
        <v>38</v>
      </c>
      <c r="M2" s="327"/>
      <c r="N2" s="327"/>
      <c r="O2" s="327"/>
      <c r="P2" s="327"/>
      <c r="Q2" s="324" t="s">
        <v>41</v>
      </c>
      <c r="R2" s="325"/>
      <c r="S2" s="326"/>
      <c r="T2" s="324" t="s">
        <v>42</v>
      </c>
      <c r="U2" s="325"/>
      <c r="V2" s="326"/>
      <c r="W2" s="324" t="s">
        <v>43</v>
      </c>
      <c r="X2" s="325"/>
      <c r="Y2" s="326"/>
      <c r="Z2" s="324" t="s">
        <v>44</v>
      </c>
      <c r="AA2" s="325"/>
      <c r="AB2" s="326"/>
      <c r="AC2" s="324" t="s">
        <v>45</v>
      </c>
      <c r="AD2" s="325"/>
      <c r="AE2" s="326"/>
      <c r="AF2" s="328" t="s">
        <v>54</v>
      </c>
      <c r="AG2" s="328" t="s">
        <v>55</v>
      </c>
      <c r="AH2" s="328" t="s">
        <v>57</v>
      </c>
      <c r="AI2" s="328" t="s">
        <v>58</v>
      </c>
      <c r="AJ2" s="328" t="s">
        <v>59</v>
      </c>
      <c r="AK2" s="328" t="s">
        <v>60</v>
      </c>
      <c r="AL2" s="328" t="s">
        <v>61</v>
      </c>
      <c r="AM2" s="328" t="s">
        <v>62</v>
      </c>
      <c r="AN2" s="328" t="s">
        <v>63</v>
      </c>
      <c r="AO2" s="328"/>
      <c r="AP2" s="334" t="s">
        <v>18</v>
      </c>
      <c r="AQ2" s="334" t="s">
        <v>19</v>
      </c>
      <c r="AR2" s="334" t="s">
        <v>20</v>
      </c>
      <c r="AS2" s="334" t="s">
        <v>37</v>
      </c>
      <c r="AT2" s="334" t="s">
        <v>22</v>
      </c>
      <c r="AU2" s="328" t="s">
        <v>57</v>
      </c>
      <c r="AV2" s="328" t="s">
        <v>58</v>
      </c>
      <c r="AW2" s="328" t="s">
        <v>59</v>
      </c>
      <c r="AX2" s="328" t="s">
        <v>63</v>
      </c>
      <c r="AY2" s="328"/>
      <c r="AZ2" s="334" t="s">
        <v>18</v>
      </c>
      <c r="BA2" s="334" t="s">
        <v>19</v>
      </c>
      <c r="BB2" s="334" t="s">
        <v>20</v>
      </c>
      <c r="BC2" s="334" t="s">
        <v>37</v>
      </c>
      <c r="BD2" s="334" t="s">
        <v>22</v>
      </c>
      <c r="BE2" s="328" t="s">
        <v>57</v>
      </c>
      <c r="BF2" s="328" t="s">
        <v>58</v>
      </c>
      <c r="BG2" s="328" t="s">
        <v>59</v>
      </c>
      <c r="BH2" s="328" t="s">
        <v>63</v>
      </c>
    </row>
    <row r="3" spans="1:60" s="6" customFormat="1" ht="15.75" thickBot="1">
      <c r="A3" s="323"/>
      <c r="B3" s="344"/>
      <c r="C3" s="69" t="s">
        <v>4</v>
      </c>
      <c r="D3" s="18" t="s">
        <v>5</v>
      </c>
      <c r="E3" s="16" t="s">
        <v>4</v>
      </c>
      <c r="F3" s="18" t="s">
        <v>5</v>
      </c>
      <c r="G3" s="6" t="s">
        <v>18</v>
      </c>
      <c r="H3" s="6" t="s">
        <v>19</v>
      </c>
      <c r="I3" s="6" t="s">
        <v>20</v>
      </c>
      <c r="J3" s="6" t="s">
        <v>37</v>
      </c>
      <c r="K3" s="6" t="s">
        <v>22</v>
      </c>
      <c r="L3" s="6" t="s">
        <v>18</v>
      </c>
      <c r="M3" s="6" t="s">
        <v>19</v>
      </c>
      <c r="N3" s="6" t="s">
        <v>20</v>
      </c>
      <c r="O3" s="6" t="s">
        <v>37</v>
      </c>
      <c r="P3" s="6" t="s">
        <v>22</v>
      </c>
      <c r="Q3" s="16" t="s">
        <v>4</v>
      </c>
      <c r="R3" s="17" t="s">
        <v>5</v>
      </c>
      <c r="S3" s="18" t="s">
        <v>14</v>
      </c>
      <c r="T3" s="16" t="s">
        <v>4</v>
      </c>
      <c r="U3" s="17" t="s">
        <v>5</v>
      </c>
      <c r="V3" s="18" t="s">
        <v>14</v>
      </c>
      <c r="W3" s="16" t="s">
        <v>4</v>
      </c>
      <c r="X3" s="17" t="s">
        <v>5</v>
      </c>
      <c r="Y3" s="18" t="s">
        <v>14</v>
      </c>
      <c r="Z3" s="16" t="s">
        <v>4</v>
      </c>
      <c r="AA3" s="17" t="s">
        <v>5</v>
      </c>
      <c r="AB3" s="18" t="s">
        <v>14</v>
      </c>
      <c r="AC3" s="16" t="s">
        <v>4</v>
      </c>
      <c r="AD3" s="17" t="s">
        <v>5</v>
      </c>
      <c r="AE3" s="18" t="s">
        <v>14</v>
      </c>
      <c r="AF3" s="329"/>
      <c r="AG3" s="329"/>
      <c r="AH3" s="329"/>
      <c r="AI3" s="329"/>
      <c r="AJ3" s="329"/>
      <c r="AK3" s="329"/>
      <c r="AL3" s="329"/>
      <c r="AM3" s="329"/>
      <c r="AN3" s="329"/>
      <c r="AO3" s="329"/>
      <c r="AP3" s="335"/>
      <c r="AQ3" s="335"/>
      <c r="AR3" s="335"/>
      <c r="AS3" s="335"/>
      <c r="AT3" s="335"/>
      <c r="AU3" s="329"/>
      <c r="AV3" s="329"/>
      <c r="AW3" s="329"/>
      <c r="AX3" s="329"/>
      <c r="AY3" s="329"/>
      <c r="AZ3" s="335"/>
      <c r="BA3" s="335"/>
      <c r="BB3" s="335"/>
      <c r="BC3" s="335"/>
      <c r="BD3" s="335"/>
      <c r="BE3" s="329"/>
      <c r="BF3" s="329"/>
      <c r="BG3" s="329"/>
      <c r="BH3" s="329"/>
    </row>
    <row r="4" spans="1:60" s="64" customFormat="1" ht="15">
      <c r="A4" s="72">
        <v>2015</v>
      </c>
      <c r="B4" s="22">
        <v>0</v>
      </c>
      <c r="C4" s="70">
        <f>'Permit Truck Totals'!G7</f>
        <v>1226</v>
      </c>
      <c r="D4" s="22">
        <f>'Permit Truck Totals'!G8</f>
        <v>3524</v>
      </c>
      <c r="E4" s="116">
        <f>'Permit Truck Totals'!H$13*C4</f>
        <v>1448.7551663157892</v>
      </c>
      <c r="F4" s="117">
        <f>'Permit Truck Totals'!H$13*D4</f>
        <v>4164.28483368421</v>
      </c>
      <c r="Q4" s="21"/>
      <c r="R4" s="13"/>
      <c r="S4" s="22"/>
      <c r="T4" s="21"/>
      <c r="U4" s="13"/>
      <c r="V4" s="22"/>
      <c r="W4" s="21"/>
      <c r="X4" s="13"/>
      <c r="Y4" s="22"/>
      <c r="Z4" s="21"/>
      <c r="AA4" s="13"/>
      <c r="AB4" s="22"/>
      <c r="AC4" s="21"/>
      <c r="AD4" s="13"/>
      <c r="AE4" s="22"/>
      <c r="AF4" s="65"/>
      <c r="AG4" s="65"/>
      <c r="AH4" s="65"/>
      <c r="AI4" s="65"/>
      <c r="AJ4" s="65"/>
      <c r="AK4" s="65"/>
      <c r="AL4" s="65"/>
      <c r="AM4" s="68">
        <v>26.55</v>
      </c>
      <c r="AN4" s="65"/>
      <c r="AO4" s="67">
        <f>1/(1.03^(A4-A$4))</f>
        <v>1</v>
      </c>
      <c r="AP4" s="19"/>
      <c r="AQ4" s="19"/>
      <c r="AR4" s="19"/>
      <c r="AS4" s="19"/>
      <c r="AT4" s="19"/>
      <c r="AU4" s="66"/>
      <c r="AV4" s="66"/>
      <c r="AW4" s="66"/>
      <c r="AX4" s="66"/>
      <c r="AY4" s="67">
        <f>1/(1.07^(A4-A$4))</f>
        <v>1</v>
      </c>
      <c r="AZ4" s="19"/>
      <c r="BA4" s="19"/>
      <c r="BB4" s="19"/>
      <c r="BC4" s="19"/>
      <c r="BD4" s="19"/>
      <c r="BE4" s="66"/>
      <c r="BF4" s="66"/>
      <c r="BG4" s="66"/>
      <c r="BH4" s="66"/>
    </row>
    <row r="5" spans="1:60" s="64" customFormat="1" ht="15">
      <c r="A5" s="71">
        <v>2016</v>
      </c>
      <c r="B5" s="15">
        <v>1</v>
      </c>
      <c r="C5" s="70">
        <f>ROUNDDOWN(C$4*1.05^(A5-A$4),0)</f>
        <v>1287</v>
      </c>
      <c r="D5" s="102">
        <f>ROUNDDOWN('Permit Truck Totals'!H$16*C5,0)</f>
        <v>3699</v>
      </c>
      <c r="E5" s="116">
        <f>'Permit Truck Totals'!H$13*C5</f>
        <v>1520.8384168421048</v>
      </c>
      <c r="F5" s="117">
        <f>'Permit Truck Totals'!H$13*D5</f>
        <v>4371.081044210526</v>
      </c>
      <c r="Q5" s="21"/>
      <c r="R5" s="13"/>
      <c r="S5" s="22"/>
      <c r="T5" s="21"/>
      <c r="U5" s="13"/>
      <c r="V5" s="22"/>
      <c r="W5" s="21"/>
      <c r="X5" s="13"/>
      <c r="Y5" s="22"/>
      <c r="Z5" s="21"/>
      <c r="AA5" s="13"/>
      <c r="AB5" s="22"/>
      <c r="AC5" s="21"/>
      <c r="AD5" s="13"/>
      <c r="AE5" s="22"/>
      <c r="AF5" s="65"/>
      <c r="AG5" s="65"/>
      <c r="AH5" s="65"/>
      <c r="AI5" s="65"/>
      <c r="AJ5" s="65"/>
      <c r="AK5" s="65"/>
      <c r="AL5" s="65"/>
      <c r="AM5" s="68">
        <v>27.12</v>
      </c>
      <c r="AN5" s="65"/>
      <c r="AO5" s="67">
        <f aca="true" t="shared" si="0" ref="AO5:AO34">1/(1.03^(A5-A$4))</f>
        <v>0.970873786407767</v>
      </c>
      <c r="AP5" s="19"/>
      <c r="AQ5" s="19"/>
      <c r="AR5" s="19"/>
      <c r="AS5" s="19"/>
      <c r="AT5" s="19"/>
      <c r="AU5" s="66"/>
      <c r="AV5" s="66"/>
      <c r="AW5" s="66"/>
      <c r="AX5" s="66"/>
      <c r="AY5" s="67">
        <f aca="true" t="shared" si="1" ref="AY5:AY34">1/(1.07^(A5-A$4))</f>
        <v>0.9345794392523364</v>
      </c>
      <c r="AZ5" s="19"/>
      <c r="BA5" s="19"/>
      <c r="BB5" s="19"/>
      <c r="BC5" s="19"/>
      <c r="BD5" s="19"/>
      <c r="BE5" s="66"/>
      <c r="BF5" s="66"/>
      <c r="BG5" s="66"/>
      <c r="BH5" s="66"/>
    </row>
    <row r="6" spans="1:60" s="64" customFormat="1" ht="15">
      <c r="A6" s="72">
        <v>2017</v>
      </c>
      <c r="B6" s="15">
        <v>2</v>
      </c>
      <c r="C6" s="70">
        <f>ROUNDDOWN(C$4*1.05^(A6-A$4),0)</f>
        <v>1351</v>
      </c>
      <c r="D6" s="102">
        <f>ROUNDDOWN('Permit Truck Totals'!H$16*C6,0)</f>
        <v>3883</v>
      </c>
      <c r="E6" s="116">
        <f>'Permit Truck Totals'!H$13*C6</f>
        <v>1596.4667452631575</v>
      </c>
      <c r="F6" s="117">
        <f>'Permit Truck Totals'!H$13*D6</f>
        <v>4588.512488421052</v>
      </c>
      <c r="Q6" s="21"/>
      <c r="R6" s="13"/>
      <c r="S6" s="22"/>
      <c r="T6" s="21"/>
      <c r="U6" s="13"/>
      <c r="V6" s="22"/>
      <c r="W6" s="21"/>
      <c r="X6" s="13"/>
      <c r="Y6" s="22"/>
      <c r="Z6" s="21"/>
      <c r="AA6" s="13"/>
      <c r="AB6" s="22"/>
      <c r="AC6" s="21"/>
      <c r="AD6" s="13"/>
      <c r="AE6" s="22"/>
      <c r="AF6" s="65"/>
      <c r="AG6" s="65"/>
      <c r="AH6" s="65"/>
      <c r="AI6" s="65"/>
      <c r="AJ6" s="65"/>
      <c r="AK6" s="65"/>
      <c r="AL6" s="65"/>
      <c r="AM6" s="68">
        <v>27.69</v>
      </c>
      <c r="AN6" s="65"/>
      <c r="AO6" s="67">
        <f t="shared" si="0"/>
        <v>0.9425959091337544</v>
      </c>
      <c r="AP6" s="19"/>
      <c r="AQ6" s="19"/>
      <c r="AR6" s="19"/>
      <c r="AS6" s="19"/>
      <c r="AT6" s="19"/>
      <c r="AU6" s="66"/>
      <c r="AV6" s="66"/>
      <c r="AW6" s="66"/>
      <c r="AX6" s="66"/>
      <c r="AY6" s="67">
        <f t="shared" si="1"/>
        <v>0.8734387282732116</v>
      </c>
      <c r="AZ6" s="19"/>
      <c r="BA6" s="19"/>
      <c r="BB6" s="19"/>
      <c r="BC6" s="19"/>
      <c r="BD6" s="19"/>
      <c r="BE6" s="66"/>
      <c r="BF6" s="66"/>
      <c r="BG6" s="66"/>
      <c r="BH6" s="66"/>
    </row>
    <row r="7" spans="1:60" s="64" customFormat="1" ht="15">
      <c r="A7" s="71">
        <v>2018</v>
      </c>
      <c r="B7" s="200">
        <v>3</v>
      </c>
      <c r="C7" s="70">
        <f>ROUNDDOWN(C$4*1.05^(A7-A$4),0)</f>
        <v>1419</v>
      </c>
      <c r="D7" s="102">
        <f>ROUNDDOWN('Permit Truck Totals'!H$16*C7,0)</f>
        <v>4078</v>
      </c>
      <c r="E7" s="116">
        <f>'Permit Truck Totals'!H$13*C7</f>
        <v>1676.821844210526</v>
      </c>
      <c r="F7" s="117">
        <f>'Permit Truck Totals'!H$13*D7</f>
        <v>4818.942551578946</v>
      </c>
      <c r="Q7" s="21"/>
      <c r="R7" s="13"/>
      <c r="S7" s="22"/>
      <c r="T7" s="21"/>
      <c r="U7" s="13"/>
      <c r="V7" s="22"/>
      <c r="W7" s="21"/>
      <c r="X7" s="13"/>
      <c r="Y7" s="22"/>
      <c r="Z7" s="21"/>
      <c r="AA7" s="13"/>
      <c r="AB7" s="22"/>
      <c r="AC7" s="21"/>
      <c r="AD7" s="13"/>
      <c r="AE7" s="22"/>
      <c r="AF7" s="65"/>
      <c r="AG7" s="65"/>
      <c r="AH7" s="65"/>
      <c r="AI7" s="65"/>
      <c r="AJ7" s="65"/>
      <c r="AK7" s="65"/>
      <c r="AL7" s="65"/>
      <c r="AM7" s="68">
        <v>28.26</v>
      </c>
      <c r="AN7" s="65"/>
      <c r="AO7" s="67">
        <f t="shared" si="0"/>
        <v>0.9151416593531596</v>
      </c>
      <c r="AP7" s="19"/>
      <c r="AQ7" s="19"/>
      <c r="AR7" s="19"/>
      <c r="AS7" s="19"/>
      <c r="AT7" s="19"/>
      <c r="AU7" s="66"/>
      <c r="AV7" s="66"/>
      <c r="AW7" s="66"/>
      <c r="AX7" s="66"/>
      <c r="AY7" s="67">
        <f t="shared" si="1"/>
        <v>0.8162978768908519</v>
      </c>
      <c r="AZ7" s="19"/>
      <c r="BA7" s="19"/>
      <c r="BB7" s="19"/>
      <c r="BC7" s="19"/>
      <c r="BD7" s="19"/>
      <c r="BE7" s="66"/>
      <c r="BF7" s="66"/>
      <c r="BG7" s="66"/>
      <c r="BH7" s="66"/>
    </row>
    <row r="8" spans="1:60" s="64" customFormat="1" ht="15">
      <c r="A8" s="72">
        <v>2019</v>
      </c>
      <c r="B8" s="15">
        <v>4</v>
      </c>
      <c r="C8" s="70">
        <f>ROUNDDOWN(C$4*1.05^(A8-A$4),0)</f>
        <v>1490</v>
      </c>
      <c r="D8" s="102">
        <f>ROUNDDOWN('Permit Truck Totals'!H$16*C8,0)</f>
        <v>4282</v>
      </c>
      <c r="E8" s="116">
        <f>'Permit Truck Totals'!H$13*C8</f>
        <v>1760.7220210526311</v>
      </c>
      <c r="F8" s="117">
        <f>'Permit Truck Totals'!H$13*D8</f>
        <v>5060.007848421052</v>
      </c>
      <c r="Q8" s="21"/>
      <c r="R8" s="13"/>
      <c r="S8" s="22"/>
      <c r="T8" s="21"/>
      <c r="U8" s="13"/>
      <c r="V8" s="22"/>
      <c r="W8" s="21"/>
      <c r="X8" s="13"/>
      <c r="Y8" s="22"/>
      <c r="Z8" s="21"/>
      <c r="AA8" s="13"/>
      <c r="AB8" s="22"/>
      <c r="AC8" s="21"/>
      <c r="AD8" s="13"/>
      <c r="AE8" s="22"/>
      <c r="AF8" s="65"/>
      <c r="AG8" s="65"/>
      <c r="AH8" s="65"/>
      <c r="AI8" s="65"/>
      <c r="AJ8" s="65"/>
      <c r="AK8" s="65"/>
      <c r="AL8" s="65"/>
      <c r="AM8" s="68">
        <v>28.83</v>
      </c>
      <c r="AN8" s="65"/>
      <c r="AO8" s="67">
        <f t="shared" si="0"/>
        <v>0.888487047915689</v>
      </c>
      <c r="AP8" s="19"/>
      <c r="AQ8" s="19"/>
      <c r="AR8" s="19"/>
      <c r="AS8" s="19"/>
      <c r="AT8" s="19"/>
      <c r="AU8" s="66"/>
      <c r="AV8" s="66"/>
      <c r="AW8" s="66"/>
      <c r="AX8" s="66"/>
      <c r="AY8" s="67">
        <f t="shared" si="1"/>
        <v>0.7628952120475252</v>
      </c>
      <c r="AZ8" s="19"/>
      <c r="BA8" s="19"/>
      <c r="BB8" s="19"/>
      <c r="BC8" s="19"/>
      <c r="BD8" s="19"/>
      <c r="BE8" s="66"/>
      <c r="BF8" s="66"/>
      <c r="BG8" s="66"/>
      <c r="BH8" s="66"/>
    </row>
    <row r="9" spans="1:60" s="64" customFormat="1" ht="15">
      <c r="A9" s="71">
        <v>2020</v>
      </c>
      <c r="B9" s="15">
        <v>5</v>
      </c>
      <c r="C9" s="70">
        <f>ROUNDDOWN(C$4*1.05^(A9-A$4),0)</f>
        <v>1564</v>
      </c>
      <c r="D9" s="102">
        <f>ROUNDDOWN('Permit Truck Totals'!H$16*C9,0)</f>
        <v>4495</v>
      </c>
      <c r="E9" s="116">
        <f>'Permit Truck Totals'!H$13*C9</f>
        <v>1848.1672757894733</v>
      </c>
      <c r="F9" s="117">
        <f>'Permit Truck Totals'!H$13*D9</f>
        <v>5311.708378947367</v>
      </c>
      <c r="G9" s="120">
        <f>'VMT Multipliers'!W$22</f>
        <v>0.5574940766550522</v>
      </c>
      <c r="H9" s="120">
        <f>'VMT Multipliers'!X$22</f>
        <v>0.27343108013937284</v>
      </c>
      <c r="I9" s="119">
        <f>'VMT Multipliers'!Y$22</f>
        <v>0.015675261324041814</v>
      </c>
      <c r="J9" s="119">
        <f>'VMT Multipliers'!Z$22</f>
        <v>0.061201672473867604</v>
      </c>
      <c r="K9" s="119">
        <f>'VMT Multipliers'!AA$22</f>
        <v>0.04143721254355401</v>
      </c>
      <c r="L9" s="118">
        <f>'VMT Multipliers'!W$20</f>
        <v>0.0013630662020905925</v>
      </c>
      <c r="M9" s="118">
        <f>'VMT Multipliers'!X$20</f>
        <v>0.10495609756097561</v>
      </c>
      <c r="N9" s="118">
        <f>'VMT Multipliers'!Y$20</f>
        <v>0.01622048780487805</v>
      </c>
      <c r="O9" s="118">
        <f>'VMT Multipliers'!Z$20</f>
        <v>0.01812878048780488</v>
      </c>
      <c r="P9" s="118">
        <f>'VMT Multipliers'!AA$20</f>
        <v>0.0012267595818815332</v>
      </c>
      <c r="Q9" s="95">
        <f>E9*G9</f>
        <v>1030.3423089203357</v>
      </c>
      <c r="R9" s="24">
        <f>F9*L9</f>
        <v>7.240210166704566</v>
      </c>
      <c r="S9" s="25">
        <f>SUM(Q9:R9)</f>
        <v>1037.5825190870403</v>
      </c>
      <c r="T9" s="95">
        <f>E9*H9</f>
        <v>505.34637449735783</v>
      </c>
      <c r="U9" s="24">
        <f>F9*M9</f>
        <v>557.4961828362515</v>
      </c>
      <c r="V9" s="25">
        <f>SUM(T9:U9)</f>
        <v>1062.8425573336094</v>
      </c>
      <c r="W9" s="95">
        <f>E9*I9</f>
        <v>28.97050501854245</v>
      </c>
      <c r="X9" s="24">
        <f>F9*N9</f>
        <v>86.15850098378432</v>
      </c>
      <c r="Y9" s="25">
        <f>SUM(W9:X9)</f>
        <v>115.12900600232678</v>
      </c>
      <c r="Z9" s="95">
        <f>E9*J9</f>
        <v>113.11092828978748</v>
      </c>
      <c r="AA9" s="24">
        <f>F9*O9</f>
        <v>96.29479521717072</v>
      </c>
      <c r="AB9" s="25">
        <f>SUM(Z9:AA9)</f>
        <v>209.4057235069582</v>
      </c>
      <c r="AC9" s="95">
        <f>E9*K9</f>
        <v>76.5829002229296</v>
      </c>
      <c r="AD9" s="24">
        <f>F9*P9</f>
        <v>6.5161891500341085</v>
      </c>
      <c r="AE9" s="25">
        <f>SUM(AC9:AD9)</f>
        <v>83.0990893729637</v>
      </c>
      <c r="AF9" s="20">
        <f aca="true" t="shared" si="2" ref="AF9:AF34">E9/$AE$38</f>
        <v>298.0914960950763</v>
      </c>
      <c r="AG9" s="20">
        <f aca="true" t="shared" si="3" ref="AG9:AG34">F9/$AE$39</f>
        <v>216.80442363050477</v>
      </c>
      <c r="AH9" s="29">
        <f aca="true" t="shared" si="4" ref="AH9:AH34">(AF9+AG9)*$AE$40</f>
        <v>1060.685594634697</v>
      </c>
      <c r="AI9" s="29">
        <f aca="true" t="shared" si="5" ref="AI9:AI34">-1*AF9*$AH$38</f>
        <v>-72.73432504719862</v>
      </c>
      <c r="AJ9" s="29">
        <f aca="true" t="shared" si="6" ref="AJ9:AJ34">-1*AG9*$AH$39</f>
        <v>-39.892013948012874</v>
      </c>
      <c r="AK9" s="33">
        <f aca="true" t="shared" si="7" ref="AK9:AK34">(E9*$AK$38)</f>
        <v>110890.03654736839</v>
      </c>
      <c r="AL9" s="32">
        <f aca="true" t="shared" si="8" ref="AL9:AL34">$AK$39*AK9/1000000</f>
        <v>7.94083551715705</v>
      </c>
      <c r="AM9" s="68">
        <v>29.4</v>
      </c>
      <c r="AN9" s="29">
        <f>AL9*AM9</f>
        <v>233.46056420441727</v>
      </c>
      <c r="AO9" s="67">
        <f t="shared" si="0"/>
        <v>0.8626087843841641</v>
      </c>
      <c r="AP9" s="87">
        <f>AO9*S9</f>
        <v>895.0277954879306</v>
      </c>
      <c r="AQ9" s="87">
        <f>AO9*V9</f>
        <v>916.8173263733011</v>
      </c>
      <c r="AR9" s="87">
        <f>AO9*Y9</f>
        <v>99.31129191502423</v>
      </c>
      <c r="AS9" s="87">
        <f>AO9*AB9</f>
        <v>180.63521659742358</v>
      </c>
      <c r="AT9" s="87">
        <f>AO9*AE9</f>
        <v>71.68200446744324</v>
      </c>
      <c r="AU9" s="87">
        <f>AH9*AO9</f>
        <v>914.9567114016303</v>
      </c>
      <c r="AV9" s="87">
        <f>AI9*AO9</f>
        <v>-62.741267711966664</v>
      </c>
      <c r="AW9" s="87">
        <f>AJ9*AO9</f>
        <v>-34.41120165833151</v>
      </c>
      <c r="AX9" s="87">
        <f>AN9*AO9</f>
        <v>201.3851334900135</v>
      </c>
      <c r="AY9" s="67">
        <f t="shared" si="1"/>
        <v>0.7129861794836684</v>
      </c>
      <c r="AZ9" s="87">
        <f>AY9*S9</f>
        <v>739.7819961829093</v>
      </c>
      <c r="BA9" s="87">
        <f>AY9*V9</f>
        <v>757.7920543459419</v>
      </c>
      <c r="BB9" s="87">
        <f>AY9*Y9</f>
        <v>82.0853901373513</v>
      </c>
      <c r="BC9" s="87">
        <f>AY9*AB9</f>
        <v>149.30338676523954</v>
      </c>
      <c r="BD9" s="87">
        <f>AY9*AE9</f>
        <v>59.2485022506013</v>
      </c>
      <c r="BE9" s="87">
        <f>AH9*AY9</f>
        <v>756.2541697519556</v>
      </c>
      <c r="BF9" s="87">
        <f>AI9*AY9</f>
        <v>-51.858568532725435</v>
      </c>
      <c r="BG9" s="87">
        <f>AJ9*AY9</f>
        <v>-28.44245461670291</v>
      </c>
      <c r="BH9" s="87">
        <f>AN9*AY9</f>
        <v>166.45415573220913</v>
      </c>
    </row>
    <row r="10" spans="1:60" s="6" customFormat="1" ht="15">
      <c r="A10" s="72">
        <v>2021</v>
      </c>
      <c r="B10" s="200">
        <v>6</v>
      </c>
      <c r="C10" s="70">
        <f>ROUNDDOWN(C$9*1.01^(A10-A$9),0)</f>
        <v>1579</v>
      </c>
      <c r="D10" s="102">
        <f>ROUNDDOWN('Permit Truck Totals'!H$16*C10,0)</f>
        <v>4538</v>
      </c>
      <c r="E10" s="116">
        <f>'Permit Truck Totals'!H$13*C10</f>
        <v>1865.8926652631574</v>
      </c>
      <c r="F10" s="117">
        <f>'Permit Truck Totals'!H$13*D10</f>
        <v>5362.521162105262</v>
      </c>
      <c r="G10" s="120">
        <f>'VMT Multipliers'!W$22</f>
        <v>0.5574940766550522</v>
      </c>
      <c r="H10" s="120">
        <f>'VMT Multipliers'!X$22</f>
        <v>0.27343108013937284</v>
      </c>
      <c r="I10" s="119">
        <f>'VMT Multipliers'!Y$22</f>
        <v>0.015675261324041814</v>
      </c>
      <c r="J10" s="119">
        <f>'VMT Multipliers'!Z$22</f>
        <v>0.061201672473867604</v>
      </c>
      <c r="K10" s="119">
        <f>'VMT Multipliers'!AA$22</f>
        <v>0.04143721254355401</v>
      </c>
      <c r="L10" s="118">
        <f>'VMT Multipliers'!W$20</f>
        <v>0.0013630662020905925</v>
      </c>
      <c r="M10" s="118">
        <f>'VMT Multipliers'!X$20</f>
        <v>0.10495609756097561</v>
      </c>
      <c r="N10" s="118">
        <f>'VMT Multipliers'!Y$20</f>
        <v>0.01622048780487805</v>
      </c>
      <c r="O10" s="118">
        <f>'VMT Multipliers'!Z$20</f>
        <v>0.01812878048780488</v>
      </c>
      <c r="P10" s="118">
        <f>'VMT Multipliers'!AA$20</f>
        <v>0.0012267595818815332</v>
      </c>
      <c r="Q10" s="23">
        <f>E10*G10</f>
        <v>1040.2241085583184</v>
      </c>
      <c r="R10" s="24">
        <f>F10*L10</f>
        <v>7.309471354061251</v>
      </c>
      <c r="S10" s="25">
        <f>SUM(Q10:R10)</f>
        <v>1047.5335799123798</v>
      </c>
      <c r="T10" s="23">
        <f>E10*H10</f>
        <v>510.19304688703835</v>
      </c>
      <c r="U10" s="24">
        <f>F10*M10</f>
        <v>562.8292942627162</v>
      </c>
      <c r="V10" s="25">
        <f>SUM(T10:U10)</f>
        <v>1073.0223411497545</v>
      </c>
      <c r="W10" s="23">
        <f>E10*I10</f>
        <v>29.248355130612868</v>
      </c>
      <c r="X10" s="24">
        <f>F10*N10</f>
        <v>86.98270911332887</v>
      </c>
      <c r="Y10" s="25">
        <f>SUM(W10:X10)</f>
        <v>116.23106424394173</v>
      </c>
      <c r="Z10" s="23">
        <f>E10*J10</f>
        <v>114.19575177082764</v>
      </c>
      <c r="AA10" s="24">
        <f>F10*O10</f>
        <v>97.21596900901463</v>
      </c>
      <c r="AB10" s="25">
        <f>SUM(Z10:AA10)</f>
        <v>211.41172077984226</v>
      </c>
      <c r="AC10" s="23">
        <f>E10*K10</f>
        <v>77.31739095396793</v>
      </c>
      <c r="AD10" s="24">
        <f>F10*P10</f>
        <v>6.578524218655125</v>
      </c>
      <c r="AE10" s="25">
        <f>SUM(AC10:AD10)</f>
        <v>83.89591517262305</v>
      </c>
      <c r="AF10" s="20">
        <f t="shared" si="2"/>
        <v>300.9504298811544</v>
      </c>
      <c r="AG10" s="20">
        <f t="shared" si="3"/>
        <v>218.87841477980663</v>
      </c>
      <c r="AH10" s="29">
        <f t="shared" si="4"/>
        <v>1070.8474200015798</v>
      </c>
      <c r="AI10" s="29">
        <f t="shared" si="5"/>
        <v>-73.43190489100166</v>
      </c>
      <c r="AJ10" s="29">
        <f t="shared" si="6"/>
        <v>-40.273628319484416</v>
      </c>
      <c r="AK10" s="33">
        <f t="shared" si="7"/>
        <v>111953.55991578945</v>
      </c>
      <c r="AL10" s="32">
        <f t="shared" si="8"/>
        <v>8.016994425569683</v>
      </c>
      <c r="AM10" s="68">
        <v>29.97</v>
      </c>
      <c r="AN10" s="29">
        <f>AL10*AM10</f>
        <v>240.26932293432338</v>
      </c>
      <c r="AO10" s="67">
        <f t="shared" si="0"/>
        <v>0.8374842566836544</v>
      </c>
      <c r="AP10" s="30">
        <f aca="true" t="shared" si="9" ref="AP10:AP34">AO10*S10</f>
        <v>877.2928815240869</v>
      </c>
      <c r="AQ10" s="30">
        <f aca="true" t="shared" si="10" ref="AQ10:AQ34">AO10*V10</f>
        <v>898.6393177827568</v>
      </c>
      <c r="AR10" s="30">
        <f aca="true" t="shared" si="11" ref="AR10:AR34">AO10*Y10</f>
        <v>97.34168644188763</v>
      </c>
      <c r="AS10" s="30">
        <f aca="true" t="shared" si="12" ref="AS10:AS34">AO10*AB10</f>
        <v>177.0539878315185</v>
      </c>
      <c r="AT10" s="30">
        <f aca="true" t="shared" si="13" ref="AT10:AT34">AO10*AE10</f>
        <v>70.26150815713915</v>
      </c>
      <c r="AU10" s="30">
        <f>AH10*AO10</f>
        <v>896.8178555616322</v>
      </c>
      <c r="AV10" s="30">
        <f>AI10*AO10</f>
        <v>-61.49806428450534</v>
      </c>
      <c r="AW10" s="30">
        <f>AJ10*AO10</f>
        <v>-33.72852967709718</v>
      </c>
      <c r="AX10" s="30">
        <f>AN10*AO10</f>
        <v>201.22177532153674</v>
      </c>
      <c r="AY10" s="67">
        <f t="shared" si="1"/>
        <v>0.6663422238165125</v>
      </c>
      <c r="AZ10" s="30">
        <f aca="true" t="shared" si="14" ref="AZ10:AZ34">AY10*S10</f>
        <v>698.0158551612876</v>
      </c>
      <c r="BA10" s="30">
        <f aca="true" t="shared" si="15" ref="BA10:BA34">AY10*V10</f>
        <v>715.000093006528</v>
      </c>
      <c r="BB10" s="30">
        <f aca="true" t="shared" si="16" ref="BB10:BB34">AY10*Y10</f>
        <v>77.44966582486806</v>
      </c>
      <c r="BC10" s="30">
        <f aca="true" t="shared" si="17" ref="BC10:BC34">AY10*AB10</f>
        <v>140.8725561653157</v>
      </c>
      <c r="BD10" s="30">
        <f aca="true" t="shared" si="18" ref="BD10:BD34">AY10*AE10</f>
        <v>55.90339068524714</v>
      </c>
      <c r="BE10" s="30">
        <f>AH10*AY10</f>
        <v>713.5508512120277</v>
      </c>
      <c r="BF10" s="30">
        <f>AI10*AY10</f>
        <v>-48.930778804152695</v>
      </c>
      <c r="BG10" s="30">
        <f>AJ10*AY10</f>
        <v>-26.836019055564922</v>
      </c>
      <c r="BH10" s="30">
        <f>AN10*AY10</f>
        <v>160.10159495894484</v>
      </c>
    </row>
    <row r="11" spans="1:60" s="6" customFormat="1" ht="15">
      <c r="A11" s="71">
        <v>2022</v>
      </c>
      <c r="B11" s="15">
        <v>7</v>
      </c>
      <c r="C11" s="70">
        <f aca="true" t="shared" si="19" ref="C11:C34">ROUNDDOWN(C$9*1.01^(A11-A$9),0)</f>
        <v>1595</v>
      </c>
      <c r="D11" s="102">
        <f>ROUNDDOWN('Permit Truck Totals'!H$16*C11,0)</f>
        <v>4584</v>
      </c>
      <c r="E11" s="116">
        <f>'Permit Truck Totals'!H$13*C11</f>
        <v>1884.7997473684206</v>
      </c>
      <c r="F11" s="117">
        <f>'Permit Truck Totals'!H$13*D11</f>
        <v>5416.879023157893</v>
      </c>
      <c r="G11" s="120">
        <f>'VMT Multipliers'!W$22</f>
        <v>0.5574940766550522</v>
      </c>
      <c r="H11" s="120">
        <f>'VMT Multipliers'!X$22</f>
        <v>0.27343108013937284</v>
      </c>
      <c r="I11" s="119">
        <f>'VMT Multipliers'!Y$22</f>
        <v>0.015675261324041814</v>
      </c>
      <c r="J11" s="119">
        <f>'VMT Multipliers'!Z$22</f>
        <v>0.061201672473867604</v>
      </c>
      <c r="K11" s="119">
        <f>'VMT Multipliers'!AA$22</f>
        <v>0.04143721254355401</v>
      </c>
      <c r="L11" s="118">
        <f>'VMT Multipliers'!W$20</f>
        <v>0.0013630662020905925</v>
      </c>
      <c r="M11" s="118">
        <f>'VMT Multipliers'!X$20</f>
        <v>0.10495609756097561</v>
      </c>
      <c r="N11" s="118">
        <f>'VMT Multipliers'!Y$20</f>
        <v>0.01622048780487805</v>
      </c>
      <c r="O11" s="118">
        <f>'VMT Multipliers'!Z$20</f>
        <v>0.01812878048780488</v>
      </c>
      <c r="P11" s="118">
        <f>'VMT Multipliers'!AA$20</f>
        <v>0.0012267595818815332</v>
      </c>
      <c r="Q11" s="26">
        <f aca="true" t="shared" si="20" ref="Q11:Q34">E11*G11</f>
        <v>1050.7646948388333</v>
      </c>
      <c r="R11" s="27">
        <f aca="true" t="shared" si="21" ref="R11:R34">F11*L11</f>
        <v>7.383564717280028</v>
      </c>
      <c r="S11" s="28">
        <f aca="true" t="shared" si="22" ref="S11:S34">SUM(Q11:R11)</f>
        <v>1058.1482595561133</v>
      </c>
      <c r="T11" s="26">
        <f aca="true" t="shared" si="23" ref="T11:T34">E11*H11</f>
        <v>515.3628307693643</v>
      </c>
      <c r="U11" s="27">
        <f aca="true" t="shared" si="24" ref="U11:U34">F11*M11</f>
        <v>568.5344832305622</v>
      </c>
      <c r="V11" s="28">
        <f aca="true" t="shared" si="25" ref="V11:V34">SUM(T11:U11)</f>
        <v>1083.8973139999266</v>
      </c>
      <c r="W11" s="26">
        <f aca="true" t="shared" si="26" ref="W11:W34">E11*I11</f>
        <v>29.544728583487984</v>
      </c>
      <c r="X11" s="27">
        <f aca="true" t="shared" si="27" ref="X11:X34">F11*N11</f>
        <v>87.86442013563233</v>
      </c>
      <c r="Y11" s="28">
        <f aca="true" t="shared" si="28" ref="Y11:Y34">SUM(W11:X11)</f>
        <v>117.40914871912031</v>
      </c>
      <c r="Z11" s="26">
        <f aca="true" t="shared" si="29" ref="Z11:Z34">E11*J11</f>
        <v>115.35289681727048</v>
      </c>
      <c r="AA11" s="27">
        <f aca="true" t="shared" si="30" ref="AA11:AA34">F11*O11</f>
        <v>98.20141073982438</v>
      </c>
      <c r="AB11" s="28">
        <f aca="true" t="shared" si="31" ref="AB11:AB34">SUM(Z11:AA11)</f>
        <v>213.55430755709486</v>
      </c>
      <c r="AC11" s="26">
        <f aca="true" t="shared" si="32" ref="AC11:AC34">E11*K11</f>
        <v>78.10084773374214</v>
      </c>
      <c r="AD11" s="27">
        <f aca="true" t="shared" si="33" ref="AD11:AD34">F11*P11</f>
        <v>6.645208245552025</v>
      </c>
      <c r="AE11" s="28">
        <f aca="true" t="shared" si="34" ref="AE11:AE34">SUM(AC11:AD11)</f>
        <v>84.74605597929417</v>
      </c>
      <c r="AF11" s="20">
        <f t="shared" si="2"/>
        <v>303.99995925297105</v>
      </c>
      <c r="AG11" s="20">
        <f t="shared" si="3"/>
        <v>221.09710298603645</v>
      </c>
      <c r="AH11" s="29">
        <f t="shared" si="4"/>
        <v>1081.6999482123556</v>
      </c>
      <c r="AI11" s="29">
        <f t="shared" si="5"/>
        <v>-74.17599005772493</v>
      </c>
      <c r="AJ11" s="29">
        <f t="shared" si="6"/>
        <v>-40.681866949430706</v>
      </c>
      <c r="AK11" s="33">
        <f t="shared" si="7"/>
        <v>113087.98484210524</v>
      </c>
      <c r="AL11" s="32">
        <f t="shared" si="8"/>
        <v>8.098230594543157</v>
      </c>
      <c r="AM11" s="68">
        <v>30.54</v>
      </c>
      <c r="AN11" s="29">
        <f aca="true" t="shared" si="35" ref="AN11:AN34">AL11*AM11</f>
        <v>247.319962357348</v>
      </c>
      <c r="AO11" s="67">
        <f t="shared" si="0"/>
        <v>0.8130915113433538</v>
      </c>
      <c r="AP11" s="31">
        <f t="shared" si="9"/>
        <v>860.3713675878196</v>
      </c>
      <c r="AQ11" s="31">
        <f t="shared" si="10"/>
        <v>881.307705181202</v>
      </c>
      <c r="AR11" s="31">
        <f t="shared" si="11"/>
        <v>95.46438217756612</v>
      </c>
      <c r="AS11" s="31">
        <f t="shared" si="12"/>
        <v>173.63919468548167</v>
      </c>
      <c r="AT11" s="31">
        <f t="shared" si="13"/>
        <v>68.90629873659276</v>
      </c>
      <c r="AU11" s="30">
        <f aca="true" t="shared" si="36" ref="AU11:AU34">AH11*AO11</f>
        <v>879.5210457120118</v>
      </c>
      <c r="AV11" s="30">
        <f aca="true" t="shared" si="37" ref="AV11:AV34">AI11*AO11</f>
        <v>-60.31186786142515</v>
      </c>
      <c r="AW11" s="30">
        <f aca="true" t="shared" si="38" ref="AW11:AW34">AJ11*AO11</f>
        <v>-33.07808068218185</v>
      </c>
      <c r="AX11" s="30">
        <f aca="true" t="shared" si="39" ref="AX11:AX34">AN11*AO11</f>
        <v>201.09376197851745</v>
      </c>
      <c r="AY11" s="67">
        <f t="shared" si="1"/>
        <v>0.6227497418845911</v>
      </c>
      <c r="AZ11" s="31">
        <f t="shared" si="14"/>
        <v>658.9615555141988</v>
      </c>
      <c r="BA11" s="31">
        <f t="shared" si="15"/>
        <v>674.9967725228558</v>
      </c>
      <c r="BB11" s="31">
        <f t="shared" si="16"/>
        <v>73.11651705972174</v>
      </c>
      <c r="BC11" s="31">
        <f t="shared" si="17"/>
        <v>132.99088990952342</v>
      </c>
      <c r="BD11" s="31">
        <f t="shared" si="18"/>
        <v>52.775584486842554</v>
      </c>
      <c r="BE11" s="30">
        <f aca="true" t="shared" si="40" ref="BE11:BE34">AH11*AY11</f>
        <v>673.62836354582</v>
      </c>
      <c r="BF11" s="30">
        <f aca="true" t="shared" si="41" ref="BF11:BF34">AI11*AY11</f>
        <v>-46.19307866248219</v>
      </c>
      <c r="BG11" s="30">
        <f aca="true" t="shared" si="42" ref="BG11:BG34">AJ11*AY11</f>
        <v>-25.33462214214125</v>
      </c>
      <c r="BH11" s="30">
        <f aca="true" t="shared" si="43" ref="BH11:BH34">AN11*AY11</f>
        <v>154.01844272094525</v>
      </c>
    </row>
    <row r="12" spans="1:60" s="6" customFormat="1" ht="15">
      <c r="A12" s="72">
        <v>2023</v>
      </c>
      <c r="B12" s="15">
        <v>8</v>
      </c>
      <c r="C12" s="70">
        <f t="shared" si="19"/>
        <v>1611</v>
      </c>
      <c r="D12" s="102">
        <f>ROUNDDOWN('Permit Truck Totals'!H$16*C12,0)</f>
        <v>4630</v>
      </c>
      <c r="E12" s="116">
        <f>'Permit Truck Totals'!H$13*C12</f>
        <v>1903.7068294736837</v>
      </c>
      <c r="F12" s="117">
        <f>'Permit Truck Totals'!H$13*D12</f>
        <v>5471.236884210525</v>
      </c>
      <c r="G12" s="120">
        <f>'VMT Multipliers'!W$22</f>
        <v>0.5574940766550522</v>
      </c>
      <c r="H12" s="120">
        <f>'VMT Multipliers'!X$22</f>
        <v>0.27343108013937284</v>
      </c>
      <c r="I12" s="119">
        <f>'VMT Multipliers'!Y$22</f>
        <v>0.015675261324041814</v>
      </c>
      <c r="J12" s="119">
        <f>'VMT Multipliers'!Z$22</f>
        <v>0.061201672473867604</v>
      </c>
      <c r="K12" s="119">
        <f>'VMT Multipliers'!AA$22</f>
        <v>0.04143721254355401</v>
      </c>
      <c r="L12" s="118">
        <f>'VMT Multipliers'!W$20</f>
        <v>0.0013630662020905925</v>
      </c>
      <c r="M12" s="118">
        <f>'VMT Multipliers'!X$20</f>
        <v>0.10495609756097561</v>
      </c>
      <c r="N12" s="118">
        <f>'VMT Multipliers'!Y$20</f>
        <v>0.01622048780487805</v>
      </c>
      <c r="O12" s="118">
        <f>'VMT Multipliers'!Z$20</f>
        <v>0.01812878048780488</v>
      </c>
      <c r="P12" s="118">
        <f>'VMT Multipliers'!AA$20</f>
        <v>0.0012267595818815332</v>
      </c>
      <c r="Q12" s="26">
        <f t="shared" si="20"/>
        <v>1061.3052811193484</v>
      </c>
      <c r="R12" s="27">
        <f t="shared" si="21"/>
        <v>7.457658080498808</v>
      </c>
      <c r="S12" s="28">
        <f t="shared" si="22"/>
        <v>1068.762939199847</v>
      </c>
      <c r="T12" s="26">
        <f t="shared" si="23"/>
        <v>520.5326146516902</v>
      </c>
      <c r="U12" s="27">
        <f t="shared" si="24"/>
        <v>574.2396721984081</v>
      </c>
      <c r="V12" s="28">
        <f t="shared" si="25"/>
        <v>1094.7722868500982</v>
      </c>
      <c r="W12" s="26">
        <f t="shared" si="26"/>
        <v>29.841102036363097</v>
      </c>
      <c r="X12" s="27">
        <f t="shared" si="27"/>
        <v>88.74613115793579</v>
      </c>
      <c r="Y12" s="28">
        <f t="shared" si="28"/>
        <v>118.58723319429889</v>
      </c>
      <c r="Z12" s="26">
        <f t="shared" si="29"/>
        <v>116.51004186371331</v>
      </c>
      <c r="AA12" s="27">
        <f t="shared" si="30"/>
        <v>99.18685247063414</v>
      </c>
      <c r="AB12" s="28">
        <f t="shared" si="31"/>
        <v>215.69689433434746</v>
      </c>
      <c r="AC12" s="26">
        <f t="shared" si="32"/>
        <v>78.88430451351635</v>
      </c>
      <c r="AD12" s="27">
        <f t="shared" si="33"/>
        <v>6.711892272448926</v>
      </c>
      <c r="AE12" s="28">
        <f t="shared" si="34"/>
        <v>85.59619678596528</v>
      </c>
      <c r="AF12" s="20">
        <f t="shared" si="2"/>
        <v>307.04948862478767</v>
      </c>
      <c r="AG12" s="20">
        <f t="shared" si="3"/>
        <v>223.31579119226635</v>
      </c>
      <c r="AH12" s="29">
        <f t="shared" si="4"/>
        <v>1092.5524764231313</v>
      </c>
      <c r="AI12" s="29">
        <f t="shared" si="5"/>
        <v>-74.92007522444818</v>
      </c>
      <c r="AJ12" s="29">
        <f t="shared" si="6"/>
        <v>-41.09010557937701</v>
      </c>
      <c r="AK12" s="33">
        <f t="shared" si="7"/>
        <v>114222.40976842103</v>
      </c>
      <c r="AL12" s="32">
        <f t="shared" si="8"/>
        <v>8.17946676351663</v>
      </c>
      <c r="AM12" s="68">
        <v>31.11</v>
      </c>
      <c r="AN12" s="29">
        <f t="shared" si="35"/>
        <v>254.46321101300234</v>
      </c>
      <c r="AO12" s="67">
        <f t="shared" si="0"/>
        <v>0.7894092343139357</v>
      </c>
      <c r="AP12" s="31">
        <f t="shared" si="9"/>
        <v>843.6913334968627</v>
      </c>
      <c r="AQ12" s="31">
        <f t="shared" si="10"/>
        <v>864.2233527104524</v>
      </c>
      <c r="AR12" s="31">
        <f t="shared" si="11"/>
        <v>93.61385695531963</v>
      </c>
      <c r="AS12" s="31">
        <f t="shared" si="12"/>
        <v>170.27312020037112</v>
      </c>
      <c r="AT12" s="31">
        <f t="shared" si="13"/>
        <v>67.57042816499381</v>
      </c>
      <c r="AU12" s="30">
        <f t="shared" si="36"/>
        <v>862.4710138609785</v>
      </c>
      <c r="AV12" s="30">
        <f t="shared" si="37"/>
        <v>-59.1425992176741</v>
      </c>
      <c r="AW12" s="30">
        <f t="shared" si="38"/>
        <v>-32.43690878329478</v>
      </c>
      <c r="AX12" s="30">
        <f t="shared" si="39"/>
        <v>200.87560856683965</v>
      </c>
      <c r="AY12" s="67">
        <f t="shared" si="1"/>
        <v>0.5820091045650384</v>
      </c>
      <c r="AZ12" s="31">
        <f t="shared" si="14"/>
        <v>622.0297612360016</v>
      </c>
      <c r="BA12" s="31">
        <f t="shared" si="15"/>
        <v>637.167438372245</v>
      </c>
      <c r="BB12" s="31">
        <f t="shared" si="16"/>
        <v>69.0188494042593</v>
      </c>
      <c r="BC12" s="31">
        <f t="shared" si="17"/>
        <v>125.53755632899328</v>
      </c>
      <c r="BD12" s="31">
        <f t="shared" si="18"/>
        <v>49.81776584557247</v>
      </c>
      <c r="BE12" s="30">
        <f t="shared" si="40"/>
        <v>635.8754884933419</v>
      </c>
      <c r="BF12" s="30">
        <f t="shared" si="41"/>
        <v>-43.6041658953264</v>
      </c>
      <c r="BG12" s="30">
        <f t="shared" si="42"/>
        <v>-23.9148155547361</v>
      </c>
      <c r="BH12" s="30">
        <f t="shared" si="43"/>
        <v>148.0999055864219</v>
      </c>
    </row>
    <row r="13" spans="1:60" s="6" customFormat="1" ht="15">
      <c r="A13" s="71">
        <v>2024</v>
      </c>
      <c r="B13" s="200">
        <v>9</v>
      </c>
      <c r="C13" s="70">
        <f t="shared" si="19"/>
        <v>1627</v>
      </c>
      <c r="D13" s="102">
        <f>ROUNDDOWN('Permit Truck Totals'!H$16*C13,0)</f>
        <v>4676</v>
      </c>
      <c r="E13" s="116">
        <f>'Permit Truck Totals'!H$13*C13</f>
        <v>1922.613911578947</v>
      </c>
      <c r="F13" s="117">
        <f>'Permit Truck Totals'!H$13*D13</f>
        <v>5525.594745263156</v>
      </c>
      <c r="G13" s="120">
        <f>'VMT Multipliers'!W$22</f>
        <v>0.5574940766550522</v>
      </c>
      <c r="H13" s="120">
        <f>'VMT Multipliers'!X$22</f>
        <v>0.27343108013937284</v>
      </c>
      <c r="I13" s="119">
        <f>'VMT Multipliers'!Y$22</f>
        <v>0.015675261324041814</v>
      </c>
      <c r="J13" s="119">
        <f>'VMT Multipliers'!Z$22</f>
        <v>0.061201672473867604</v>
      </c>
      <c r="K13" s="119">
        <f>'VMT Multipliers'!AA$22</f>
        <v>0.04143721254355401</v>
      </c>
      <c r="L13" s="118">
        <f>'VMT Multipliers'!W$20</f>
        <v>0.0013630662020905925</v>
      </c>
      <c r="M13" s="118">
        <f>'VMT Multipliers'!X$20</f>
        <v>0.10495609756097561</v>
      </c>
      <c r="N13" s="118">
        <f>'VMT Multipliers'!Y$20</f>
        <v>0.01622048780487805</v>
      </c>
      <c r="O13" s="118">
        <f>'VMT Multipliers'!Z$20</f>
        <v>0.01812878048780488</v>
      </c>
      <c r="P13" s="118">
        <f>'VMT Multipliers'!AA$20</f>
        <v>0.0012267595818815332</v>
      </c>
      <c r="Q13" s="26">
        <f t="shared" si="20"/>
        <v>1071.8458673998632</v>
      </c>
      <c r="R13" s="27">
        <f t="shared" si="21"/>
        <v>7.531751443717585</v>
      </c>
      <c r="S13" s="28">
        <f t="shared" si="22"/>
        <v>1079.3776188435809</v>
      </c>
      <c r="T13" s="26">
        <f t="shared" si="23"/>
        <v>525.7023985340161</v>
      </c>
      <c r="U13" s="27">
        <f t="shared" si="24"/>
        <v>579.944861166254</v>
      </c>
      <c r="V13" s="28">
        <f t="shared" si="25"/>
        <v>1105.64725970027</v>
      </c>
      <c r="W13" s="26">
        <f t="shared" si="26"/>
        <v>30.137475489238213</v>
      </c>
      <c r="X13" s="27">
        <f t="shared" si="27"/>
        <v>89.62784218023926</v>
      </c>
      <c r="Y13" s="28">
        <f t="shared" si="28"/>
        <v>119.76531766947747</v>
      </c>
      <c r="Z13" s="26">
        <f t="shared" si="29"/>
        <v>117.66718691015616</v>
      </c>
      <c r="AA13" s="27">
        <f t="shared" si="30"/>
        <v>100.17229420144389</v>
      </c>
      <c r="AB13" s="28">
        <f t="shared" si="31"/>
        <v>217.83948111160004</v>
      </c>
      <c r="AC13" s="26">
        <f t="shared" si="32"/>
        <v>79.66776129329058</v>
      </c>
      <c r="AD13" s="27">
        <f t="shared" si="33"/>
        <v>6.7785762993458265</v>
      </c>
      <c r="AE13" s="28">
        <f t="shared" si="34"/>
        <v>86.44633759263641</v>
      </c>
      <c r="AF13" s="20">
        <f t="shared" si="2"/>
        <v>310.09901799660435</v>
      </c>
      <c r="AG13" s="20">
        <f t="shared" si="3"/>
        <v>225.53447939849616</v>
      </c>
      <c r="AH13" s="29">
        <f t="shared" si="4"/>
        <v>1103.4050046339069</v>
      </c>
      <c r="AI13" s="29">
        <f t="shared" si="5"/>
        <v>-75.66416039117146</v>
      </c>
      <c r="AJ13" s="29">
        <f t="shared" si="6"/>
        <v>-41.49834420932329</v>
      </c>
      <c r="AK13" s="33">
        <f t="shared" si="7"/>
        <v>115356.83469473681</v>
      </c>
      <c r="AL13" s="32">
        <f t="shared" si="8"/>
        <v>8.260702932490103</v>
      </c>
      <c r="AM13" s="68">
        <v>31.68</v>
      </c>
      <c r="AN13" s="29">
        <f t="shared" si="35"/>
        <v>261.69906890128647</v>
      </c>
      <c r="AO13" s="67">
        <f t="shared" si="0"/>
        <v>0.766416732343627</v>
      </c>
      <c r="AP13" s="31">
        <f t="shared" si="9"/>
        <v>827.2530675989422</v>
      </c>
      <c r="AQ13" s="31">
        <f t="shared" si="10"/>
        <v>847.3865599041665</v>
      </c>
      <c r="AR13" s="31">
        <f t="shared" si="11"/>
        <v>91.79014341633737</v>
      </c>
      <c r="AS13" s="31">
        <f t="shared" si="12"/>
        <v>166.95582328898374</v>
      </c>
      <c r="AT13" s="31">
        <f t="shared" si="13"/>
        <v>66.25391958082244</v>
      </c>
      <c r="AU13" s="30">
        <f t="shared" si="36"/>
        <v>845.6680581031235</v>
      </c>
      <c r="AV13" s="30">
        <f t="shared" si="37"/>
        <v>-57.99027856252572</v>
      </c>
      <c r="AW13" s="30">
        <f t="shared" si="38"/>
        <v>-31.80502536658063</v>
      </c>
      <c r="AX13" s="30">
        <f t="shared" si="39"/>
        <v>200.57054524469365</v>
      </c>
      <c r="AY13" s="67">
        <f t="shared" si="1"/>
        <v>0.5439337425841481</v>
      </c>
      <c r="AZ13" s="31">
        <f t="shared" si="14"/>
        <v>587.109907879155</v>
      </c>
      <c r="BA13" s="31">
        <f t="shared" si="15"/>
        <v>601.3988519466754</v>
      </c>
      <c r="BB13" s="31">
        <f t="shared" si="16"/>
        <v>65.14439747173827</v>
      </c>
      <c r="BC13" s="31">
        <f t="shared" si="17"/>
        <v>118.49024424362143</v>
      </c>
      <c r="BD13" s="31">
        <f t="shared" si="18"/>
        <v>47.021079939455454</v>
      </c>
      <c r="BE13" s="30">
        <f t="shared" si="40"/>
        <v>600.1792137566002</v>
      </c>
      <c r="BF13" s="30">
        <f t="shared" si="41"/>
        <v>-41.15628994105715</v>
      </c>
      <c r="BG13" s="30">
        <f t="shared" si="42"/>
        <v>-22.572349676822427</v>
      </c>
      <c r="BH13" s="30">
        <f t="shared" si="43"/>
        <v>142.34695397826357</v>
      </c>
    </row>
    <row r="14" spans="1:60" s="6" customFormat="1" ht="15">
      <c r="A14" s="72">
        <v>2025</v>
      </c>
      <c r="B14" s="15">
        <v>10</v>
      </c>
      <c r="C14" s="70">
        <f t="shared" si="19"/>
        <v>1643</v>
      </c>
      <c r="D14" s="102">
        <f>ROUNDDOWN('Permit Truck Totals'!H$16*C14,0)</f>
        <v>4722</v>
      </c>
      <c r="E14" s="116">
        <f>'Permit Truck Totals'!H$13*C14</f>
        <v>1941.52099368421</v>
      </c>
      <c r="F14" s="117">
        <f>'Permit Truck Totals'!H$13*D14</f>
        <v>5579.952606315788</v>
      </c>
      <c r="G14" s="120">
        <f>'VMT Multipliers'!W$22</f>
        <v>0.5574940766550522</v>
      </c>
      <c r="H14" s="120">
        <f>'VMT Multipliers'!X$22</f>
        <v>0.27343108013937284</v>
      </c>
      <c r="I14" s="119">
        <f>'VMT Multipliers'!Y$22</f>
        <v>0.015675261324041814</v>
      </c>
      <c r="J14" s="119">
        <f>'VMT Multipliers'!Z$22</f>
        <v>0.061201672473867604</v>
      </c>
      <c r="K14" s="119">
        <f>'VMT Multipliers'!AA$22</f>
        <v>0.04143721254355401</v>
      </c>
      <c r="L14" s="118">
        <f>'VMT Multipliers'!W$20</f>
        <v>0.0013630662020905925</v>
      </c>
      <c r="M14" s="118">
        <f>'VMT Multipliers'!X$20</f>
        <v>0.10495609756097561</v>
      </c>
      <c r="N14" s="118">
        <f>'VMT Multipliers'!Y$20</f>
        <v>0.01622048780487805</v>
      </c>
      <c r="O14" s="118">
        <f>'VMT Multipliers'!Z$20</f>
        <v>0.01812878048780488</v>
      </c>
      <c r="P14" s="118">
        <f>'VMT Multipliers'!AA$20</f>
        <v>0.0012267595818815332</v>
      </c>
      <c r="Q14" s="26">
        <f t="shared" si="20"/>
        <v>1082.386453680378</v>
      </c>
      <c r="R14" s="27">
        <f t="shared" si="21"/>
        <v>7.605844806936365</v>
      </c>
      <c r="S14" s="28">
        <f t="shared" si="22"/>
        <v>1089.9922984873144</v>
      </c>
      <c r="T14" s="26">
        <f t="shared" si="23"/>
        <v>530.872182416342</v>
      </c>
      <c r="U14" s="27">
        <f t="shared" si="24"/>
        <v>585.6500501341</v>
      </c>
      <c r="V14" s="28">
        <f t="shared" si="25"/>
        <v>1116.522232550442</v>
      </c>
      <c r="W14" s="26">
        <f t="shared" si="26"/>
        <v>30.43384894211333</v>
      </c>
      <c r="X14" s="27">
        <f t="shared" si="27"/>
        <v>90.50955320254272</v>
      </c>
      <c r="Y14" s="28">
        <f t="shared" si="28"/>
        <v>120.94340214465605</v>
      </c>
      <c r="Z14" s="26">
        <f t="shared" si="29"/>
        <v>118.824331956599</v>
      </c>
      <c r="AA14" s="27">
        <f t="shared" si="30"/>
        <v>101.15773593225364</v>
      </c>
      <c r="AB14" s="28">
        <f t="shared" si="31"/>
        <v>219.98206788885264</v>
      </c>
      <c r="AC14" s="26">
        <f t="shared" si="32"/>
        <v>80.4512180730648</v>
      </c>
      <c r="AD14" s="27">
        <f t="shared" si="33"/>
        <v>6.845260326242728</v>
      </c>
      <c r="AE14" s="28">
        <f t="shared" si="34"/>
        <v>87.29647839930752</v>
      </c>
      <c r="AF14" s="20">
        <f t="shared" si="2"/>
        <v>313.14854736842096</v>
      </c>
      <c r="AG14" s="20">
        <f t="shared" si="3"/>
        <v>227.75316760472606</v>
      </c>
      <c r="AH14" s="29">
        <f t="shared" si="4"/>
        <v>1114.2575328446828</v>
      </c>
      <c r="AI14" s="29">
        <f t="shared" si="5"/>
        <v>-76.40824555789472</v>
      </c>
      <c r="AJ14" s="29">
        <f t="shared" si="6"/>
        <v>-41.906582839269596</v>
      </c>
      <c r="AK14" s="33">
        <f t="shared" si="7"/>
        <v>116491.2596210526</v>
      </c>
      <c r="AL14" s="32">
        <f t="shared" si="8"/>
        <v>8.341939101463575</v>
      </c>
      <c r="AM14" s="68">
        <v>32.25</v>
      </c>
      <c r="AN14" s="29">
        <f t="shared" si="35"/>
        <v>269.0275360222003</v>
      </c>
      <c r="AO14" s="67">
        <f t="shared" si="0"/>
        <v>0.7440939148967252</v>
      </c>
      <c r="AP14" s="31">
        <f t="shared" si="9"/>
        <v>811.0566365887056</v>
      </c>
      <c r="AQ14" s="31">
        <f t="shared" si="10"/>
        <v>830.7973990876901</v>
      </c>
      <c r="AR14" s="31">
        <f t="shared" si="11"/>
        <v>89.9932495827461</v>
      </c>
      <c r="AS14" s="31">
        <f t="shared" si="12"/>
        <v>163.68731810249352</v>
      </c>
      <c r="AT14" s="31">
        <f t="shared" si="13"/>
        <v>64.95677836883813</v>
      </c>
      <c r="AU14" s="30">
        <f t="shared" si="36"/>
        <v>829.1122498175664</v>
      </c>
      <c r="AV14" s="30">
        <f t="shared" si="37"/>
        <v>-56.85491056756419</v>
      </c>
      <c r="AW14" s="30">
        <f t="shared" si="38"/>
        <v>-31.182433284816035</v>
      </c>
      <c r="AX14" s="30">
        <f t="shared" si="39"/>
        <v>200.1817524937788</v>
      </c>
      <c r="AY14" s="67">
        <f t="shared" si="1"/>
        <v>0.5083492921347178</v>
      </c>
      <c r="AZ14" s="31">
        <f t="shared" si="14"/>
        <v>554.0968133683203</v>
      </c>
      <c r="BA14" s="31">
        <f t="shared" si="15"/>
        <v>567.583286569692</v>
      </c>
      <c r="BB14" s="31">
        <f t="shared" si="16"/>
        <v>61.48149286860041</v>
      </c>
      <c r="BC14" s="31">
        <f t="shared" si="17"/>
        <v>111.82772849362968</v>
      </c>
      <c r="BD14" s="31">
        <f t="shared" si="18"/>
        <v>44.37710300014166</v>
      </c>
      <c r="BE14" s="30">
        <f t="shared" si="40"/>
        <v>566.4320280773716</v>
      </c>
      <c r="BF14" s="30">
        <f t="shared" si="41"/>
        <v>-38.84207754261148</v>
      </c>
      <c r="BG14" s="30">
        <f t="shared" si="42"/>
        <v>-21.30318172212761</v>
      </c>
      <c r="BH14" s="30">
        <f t="shared" si="43"/>
        <v>136.7599575016328</v>
      </c>
    </row>
    <row r="15" spans="1:60" s="6" customFormat="1" ht="15">
      <c r="A15" s="71">
        <v>2026</v>
      </c>
      <c r="B15" s="15">
        <v>11</v>
      </c>
      <c r="C15" s="70">
        <f t="shared" si="19"/>
        <v>1660</v>
      </c>
      <c r="D15" s="102">
        <f>ROUNDDOWN('Permit Truck Totals'!H$16*C15,0)</f>
        <v>4771</v>
      </c>
      <c r="E15" s="116">
        <f>'Permit Truck Totals'!H$13*C15</f>
        <v>1961.6097684210522</v>
      </c>
      <c r="F15" s="117">
        <f>'Permit Truck Totals'!H$13*D15</f>
        <v>5637.855545263156</v>
      </c>
      <c r="G15" s="120">
        <f>'VMT Multipliers'!W$22</f>
        <v>0.5574940766550522</v>
      </c>
      <c r="H15" s="120">
        <f>'VMT Multipliers'!X$22</f>
        <v>0.27343108013937284</v>
      </c>
      <c r="I15" s="119">
        <f>'VMT Multipliers'!Y$22</f>
        <v>0.015675261324041814</v>
      </c>
      <c r="J15" s="119">
        <f>'VMT Multipliers'!Z$22</f>
        <v>0.061201672473867604</v>
      </c>
      <c r="K15" s="119">
        <f>'VMT Multipliers'!AA$22</f>
        <v>0.04143721254355401</v>
      </c>
      <c r="L15" s="118">
        <f>'VMT Multipliers'!W$20</f>
        <v>0.0013630662020905925</v>
      </c>
      <c r="M15" s="118">
        <f>'VMT Multipliers'!X$20</f>
        <v>0.10495609756097561</v>
      </c>
      <c r="N15" s="118">
        <f>'VMT Multipliers'!Y$20</f>
        <v>0.01622048780487805</v>
      </c>
      <c r="O15" s="118">
        <f>'VMT Multipliers'!Z$20</f>
        <v>0.01812878048780488</v>
      </c>
      <c r="P15" s="118">
        <f>'VMT Multipliers'!AA$20</f>
        <v>0.0012267595818815332</v>
      </c>
      <c r="Q15" s="26">
        <f t="shared" si="20"/>
        <v>1093.5858266034254</v>
      </c>
      <c r="R15" s="27">
        <f t="shared" si="21"/>
        <v>7.684770346017237</v>
      </c>
      <c r="S15" s="28">
        <f t="shared" si="22"/>
        <v>1101.2705969494427</v>
      </c>
      <c r="T15" s="26">
        <f t="shared" si="23"/>
        <v>536.3650777913133</v>
      </c>
      <c r="U15" s="27">
        <f t="shared" si="24"/>
        <v>591.7273166433272</v>
      </c>
      <c r="V15" s="28">
        <f t="shared" si="25"/>
        <v>1128.0923944346405</v>
      </c>
      <c r="W15" s="26">
        <f t="shared" si="26"/>
        <v>30.748745735793136</v>
      </c>
      <c r="X15" s="27">
        <f t="shared" si="27"/>
        <v>91.4487671176051</v>
      </c>
      <c r="Y15" s="28">
        <f t="shared" si="28"/>
        <v>122.19751285339824</v>
      </c>
      <c r="Z15" s="26">
        <f t="shared" si="29"/>
        <v>120.05379856844452</v>
      </c>
      <c r="AA15" s="27">
        <f t="shared" si="30"/>
        <v>102.20744560202925</v>
      </c>
      <c r="AB15" s="28">
        <f t="shared" si="31"/>
        <v>222.2612441704738</v>
      </c>
      <c r="AC15" s="26">
        <f t="shared" si="32"/>
        <v>81.2836409015749</v>
      </c>
      <c r="AD15" s="27">
        <f t="shared" si="33"/>
        <v>6.916293311415513</v>
      </c>
      <c r="AE15" s="28">
        <f t="shared" si="34"/>
        <v>88.19993421299041</v>
      </c>
      <c r="AF15" s="20">
        <f t="shared" si="2"/>
        <v>316.38867232597613</v>
      </c>
      <c r="AG15" s="20">
        <f t="shared" si="3"/>
        <v>230.11655286788394</v>
      </c>
      <c r="AH15" s="29">
        <f t="shared" si="4"/>
        <v>1125.8007638993518</v>
      </c>
      <c r="AI15" s="29">
        <f t="shared" si="5"/>
        <v>-77.19883604753818</v>
      </c>
      <c r="AJ15" s="29">
        <f t="shared" si="6"/>
        <v>-42.34144572769065</v>
      </c>
      <c r="AK15" s="33">
        <f t="shared" si="7"/>
        <v>117696.58610526314</v>
      </c>
      <c r="AL15" s="32">
        <f t="shared" si="8"/>
        <v>8.428252530997893</v>
      </c>
      <c r="AM15" s="68">
        <v>32.82</v>
      </c>
      <c r="AN15" s="29">
        <f t="shared" si="35"/>
        <v>276.6152480673509</v>
      </c>
      <c r="AO15" s="67">
        <f t="shared" si="0"/>
        <v>0.7224212765987623</v>
      </c>
      <c r="AP15" s="31">
        <f t="shared" si="9"/>
        <v>795.5813105288975</v>
      </c>
      <c r="AQ15" s="31">
        <f t="shared" si="10"/>
        <v>814.9579477088275</v>
      </c>
      <c r="AR15" s="31">
        <f t="shared" si="11"/>
        <v>88.27808323274562</v>
      </c>
      <c r="AS15" s="31">
        <f t="shared" si="12"/>
        <v>160.5662517520629</v>
      </c>
      <c r="AT15" s="31">
        <f t="shared" si="13"/>
        <v>63.71750907007539</v>
      </c>
      <c r="AU15" s="30">
        <f t="shared" si="36"/>
        <v>813.3024250520315</v>
      </c>
      <c r="AV15" s="30">
        <f t="shared" si="37"/>
        <v>-55.77008168940108</v>
      </c>
      <c r="AW15" s="30">
        <f t="shared" si="38"/>
        <v>-30.58836127563549</v>
      </c>
      <c r="AX15" s="30">
        <f t="shared" si="39"/>
        <v>199.83274063549894</v>
      </c>
      <c r="AY15" s="67">
        <f t="shared" si="1"/>
        <v>0.47509279638758667</v>
      </c>
      <c r="AZ15" s="31">
        <f t="shared" si="14"/>
        <v>523.2057274841376</v>
      </c>
      <c r="BA15" s="31">
        <f t="shared" si="15"/>
        <v>535.9485702555218</v>
      </c>
      <c r="BB15" s="31">
        <f t="shared" si="16"/>
        <v>58.05515809312903</v>
      </c>
      <c r="BC15" s="31">
        <f t="shared" si="17"/>
        <v>105.5947160215346</v>
      </c>
      <c r="BD15" s="31">
        <f t="shared" si="18"/>
        <v>41.903153386450796</v>
      </c>
      <c r="BE15" s="30">
        <f t="shared" si="40"/>
        <v>534.8598330962243</v>
      </c>
      <c r="BF15" s="30">
        <f t="shared" si="41"/>
        <v>-36.676610895691745</v>
      </c>
      <c r="BG15" s="30">
        <f t="shared" si="42"/>
        <v>-20.116115853861785</v>
      </c>
      <c r="BH15" s="30">
        <f t="shared" si="43"/>
        <v>131.4179117277637</v>
      </c>
    </row>
    <row r="16" spans="1:60" s="6" customFormat="1" ht="15">
      <c r="A16" s="72">
        <v>2027</v>
      </c>
      <c r="B16" s="200">
        <v>12</v>
      </c>
      <c r="C16" s="70">
        <f t="shared" si="19"/>
        <v>1676</v>
      </c>
      <c r="D16" s="102">
        <f>ROUNDDOWN('Permit Truck Totals'!H$16*C16,0)</f>
        <v>4817</v>
      </c>
      <c r="E16" s="116">
        <f>'Permit Truck Totals'!H$13*C16</f>
        <v>1980.5168505263152</v>
      </c>
      <c r="F16" s="117">
        <f>'Permit Truck Totals'!H$13*D16</f>
        <v>5692.213406315788</v>
      </c>
      <c r="G16" s="120">
        <f>'VMT Multipliers'!W$22</f>
        <v>0.5574940766550522</v>
      </c>
      <c r="H16" s="120">
        <f>'VMT Multipliers'!X$22</f>
        <v>0.27343108013937284</v>
      </c>
      <c r="I16" s="119">
        <f>'VMT Multipliers'!Y$22</f>
        <v>0.015675261324041814</v>
      </c>
      <c r="J16" s="119">
        <f>'VMT Multipliers'!Z$22</f>
        <v>0.061201672473867604</v>
      </c>
      <c r="K16" s="119">
        <f>'VMT Multipliers'!AA$22</f>
        <v>0.04143721254355401</v>
      </c>
      <c r="L16" s="118">
        <f>'VMT Multipliers'!W$20</f>
        <v>0.0013630662020905925</v>
      </c>
      <c r="M16" s="118">
        <f>'VMT Multipliers'!X$20</f>
        <v>0.10495609756097561</v>
      </c>
      <c r="N16" s="118">
        <f>'VMT Multipliers'!Y$20</f>
        <v>0.01622048780487805</v>
      </c>
      <c r="O16" s="118">
        <f>'VMT Multipliers'!Z$20</f>
        <v>0.01812878048780488</v>
      </c>
      <c r="P16" s="118">
        <f>'VMT Multipliers'!AA$20</f>
        <v>0.0012267595818815332</v>
      </c>
      <c r="Q16" s="26">
        <f t="shared" si="20"/>
        <v>1104.1264128839402</v>
      </c>
      <c r="R16" s="27">
        <f t="shared" si="21"/>
        <v>7.758863709236016</v>
      </c>
      <c r="S16" s="28">
        <f t="shared" si="22"/>
        <v>1111.8852765931763</v>
      </c>
      <c r="T16" s="26">
        <f t="shared" si="23"/>
        <v>541.5348616736392</v>
      </c>
      <c r="U16" s="27">
        <f t="shared" si="24"/>
        <v>597.4325056111732</v>
      </c>
      <c r="V16" s="28">
        <f t="shared" si="25"/>
        <v>1138.9673672848123</v>
      </c>
      <c r="W16" s="26">
        <f t="shared" si="26"/>
        <v>31.045119188668252</v>
      </c>
      <c r="X16" s="27">
        <f t="shared" si="27"/>
        <v>92.33047813990858</v>
      </c>
      <c r="Y16" s="28">
        <f t="shared" si="28"/>
        <v>123.37559732857683</v>
      </c>
      <c r="Z16" s="26">
        <f t="shared" si="29"/>
        <v>121.21094361488734</v>
      </c>
      <c r="AA16" s="27">
        <f t="shared" si="30"/>
        <v>103.19288733283902</v>
      </c>
      <c r="AB16" s="28">
        <f t="shared" si="31"/>
        <v>224.40383094772636</v>
      </c>
      <c r="AC16" s="26">
        <f t="shared" si="32"/>
        <v>82.06709768134911</v>
      </c>
      <c r="AD16" s="27">
        <f t="shared" si="33"/>
        <v>6.9829773383124145</v>
      </c>
      <c r="AE16" s="28">
        <f t="shared" si="34"/>
        <v>89.05007501966152</v>
      </c>
      <c r="AF16" s="20">
        <f t="shared" si="2"/>
        <v>319.43820169779275</v>
      </c>
      <c r="AG16" s="20">
        <f t="shared" si="3"/>
        <v>232.3352410741138</v>
      </c>
      <c r="AH16" s="29">
        <f t="shared" si="4"/>
        <v>1136.6532921101275</v>
      </c>
      <c r="AI16" s="29">
        <f t="shared" si="5"/>
        <v>-77.94292121426143</v>
      </c>
      <c r="AJ16" s="29">
        <f t="shared" si="6"/>
        <v>-42.74968435763694</v>
      </c>
      <c r="AK16" s="33">
        <f t="shared" si="7"/>
        <v>118831.01103157892</v>
      </c>
      <c r="AL16" s="32">
        <f t="shared" si="8"/>
        <v>8.509488699971367</v>
      </c>
      <c r="AM16" s="68">
        <v>33.39</v>
      </c>
      <c r="AN16" s="29">
        <f t="shared" si="35"/>
        <v>284.13182769204394</v>
      </c>
      <c r="AO16" s="67">
        <f t="shared" si="0"/>
        <v>0.7013798801929733</v>
      </c>
      <c r="AP16" s="31">
        <f t="shared" si="9"/>
        <v>779.8539620852529</v>
      </c>
      <c r="AQ16" s="31">
        <f t="shared" si="10"/>
        <v>798.8487956099278</v>
      </c>
      <c r="AR16" s="31">
        <f t="shared" si="11"/>
        <v>86.53316167305373</v>
      </c>
      <c r="AS16" s="31">
        <f t="shared" si="12"/>
        <v>157.39233206496053</v>
      </c>
      <c r="AT16" s="31">
        <f t="shared" si="13"/>
        <v>62.457930948465474</v>
      </c>
      <c r="AU16" s="30">
        <f t="shared" si="36"/>
        <v>797.2257498411499</v>
      </c>
      <c r="AV16" s="30">
        <f t="shared" si="37"/>
        <v>-54.66759674314903</v>
      </c>
      <c r="AW16" s="30">
        <f t="shared" si="38"/>
        <v>-29.983768493046817</v>
      </c>
      <c r="AX16" s="30">
        <f t="shared" si="39"/>
        <v>199.2843472656563</v>
      </c>
      <c r="AY16" s="67">
        <f t="shared" si="1"/>
        <v>0.4440119592407353</v>
      </c>
      <c r="AZ16" s="31">
        <f t="shared" si="14"/>
        <v>493.69036011106306</v>
      </c>
      <c r="BA16" s="31">
        <f t="shared" si="15"/>
        <v>505.7151322593917</v>
      </c>
      <c r="BB16" s="31">
        <f t="shared" si="16"/>
        <v>54.780240692357424</v>
      </c>
      <c r="BC16" s="31">
        <f t="shared" si="17"/>
        <v>99.63798464022673</v>
      </c>
      <c r="BD16" s="31">
        <f t="shared" si="18"/>
        <v>39.53929828001437</v>
      </c>
      <c r="BE16" s="30">
        <f t="shared" si="40"/>
        <v>504.6876552072495</v>
      </c>
      <c r="BF16" s="30">
        <f t="shared" si="41"/>
        <v>-34.60758915729049</v>
      </c>
      <c r="BG16" s="30">
        <f t="shared" si="42"/>
        <v>-18.98137110855739</v>
      </c>
      <c r="BH16" s="30">
        <f t="shared" si="43"/>
        <v>126.15792949619544</v>
      </c>
    </row>
    <row r="17" spans="1:60" s="6" customFormat="1" ht="15">
      <c r="A17" s="71">
        <v>2028</v>
      </c>
      <c r="B17" s="15">
        <v>13</v>
      </c>
      <c r="C17" s="70">
        <f t="shared" si="19"/>
        <v>1693</v>
      </c>
      <c r="D17" s="102">
        <f>ROUNDDOWN('Permit Truck Totals'!H$16*C17,0)</f>
        <v>4866</v>
      </c>
      <c r="E17" s="116">
        <f>'Permit Truck Totals'!H$13*C17</f>
        <v>2000.6056252631574</v>
      </c>
      <c r="F17" s="117">
        <f>'Permit Truck Totals'!H$13*D17</f>
        <v>5750.116345263156</v>
      </c>
      <c r="G17" s="120">
        <f>'VMT Multipliers'!W$22</f>
        <v>0.5574940766550522</v>
      </c>
      <c r="H17" s="120">
        <f>'VMT Multipliers'!X$22</f>
        <v>0.27343108013937284</v>
      </c>
      <c r="I17" s="119">
        <f>'VMT Multipliers'!Y$22</f>
        <v>0.015675261324041814</v>
      </c>
      <c r="J17" s="119">
        <f>'VMT Multipliers'!Z$22</f>
        <v>0.061201672473867604</v>
      </c>
      <c r="K17" s="119">
        <f>'VMT Multipliers'!AA$22</f>
        <v>0.04143721254355401</v>
      </c>
      <c r="L17" s="118">
        <f>'VMT Multipliers'!W$20</f>
        <v>0.0013630662020905925</v>
      </c>
      <c r="M17" s="118">
        <f>'VMT Multipliers'!X$20</f>
        <v>0.10495609756097561</v>
      </c>
      <c r="N17" s="118">
        <f>'VMT Multipliers'!Y$20</f>
        <v>0.01622048780487805</v>
      </c>
      <c r="O17" s="118">
        <f>'VMT Multipliers'!Z$20</f>
        <v>0.01812878048780488</v>
      </c>
      <c r="P17" s="118">
        <f>'VMT Multipliers'!AA$20</f>
        <v>0.0012267595818815332</v>
      </c>
      <c r="Q17" s="26">
        <f t="shared" si="20"/>
        <v>1115.3257858069874</v>
      </c>
      <c r="R17" s="27">
        <f t="shared" si="21"/>
        <v>7.837789248316889</v>
      </c>
      <c r="S17" s="28">
        <f t="shared" si="22"/>
        <v>1123.1635750553044</v>
      </c>
      <c r="T17" s="26">
        <f t="shared" si="23"/>
        <v>547.0277570486105</v>
      </c>
      <c r="U17" s="27">
        <f t="shared" si="24"/>
        <v>603.5097721204004</v>
      </c>
      <c r="V17" s="28">
        <f t="shared" si="25"/>
        <v>1150.537529169011</v>
      </c>
      <c r="W17" s="26">
        <f t="shared" si="26"/>
        <v>31.360015982348063</v>
      </c>
      <c r="X17" s="27">
        <f t="shared" si="27"/>
        <v>93.26969205497096</v>
      </c>
      <c r="Y17" s="28">
        <f t="shared" si="28"/>
        <v>124.62970803731902</v>
      </c>
      <c r="Z17" s="26">
        <f t="shared" si="29"/>
        <v>122.44041022673287</v>
      </c>
      <c r="AA17" s="27">
        <f t="shared" si="30"/>
        <v>104.24259700261462</v>
      </c>
      <c r="AB17" s="28">
        <f t="shared" si="31"/>
        <v>226.68300722934748</v>
      </c>
      <c r="AC17" s="26">
        <f t="shared" si="32"/>
        <v>82.89952050985922</v>
      </c>
      <c r="AD17" s="27">
        <f t="shared" si="33"/>
        <v>7.054010323485199</v>
      </c>
      <c r="AE17" s="28">
        <f t="shared" si="34"/>
        <v>89.95353083334442</v>
      </c>
      <c r="AF17" s="20">
        <f t="shared" si="2"/>
        <v>322.678326655348</v>
      </c>
      <c r="AG17" s="20">
        <f t="shared" si="3"/>
        <v>234.6986263372717</v>
      </c>
      <c r="AH17" s="29">
        <f t="shared" si="4"/>
        <v>1148.1965231647964</v>
      </c>
      <c r="AI17" s="29">
        <f t="shared" si="5"/>
        <v>-78.73351170390491</v>
      </c>
      <c r="AJ17" s="29">
        <f t="shared" si="6"/>
        <v>-43.18454724605799</v>
      </c>
      <c r="AK17" s="33">
        <f t="shared" si="7"/>
        <v>120036.33751578945</v>
      </c>
      <c r="AL17" s="32">
        <f t="shared" si="8"/>
        <v>8.595802129505683</v>
      </c>
      <c r="AM17" s="68">
        <v>33.96</v>
      </c>
      <c r="AN17" s="29">
        <f t="shared" si="35"/>
        <v>291.91344031801304</v>
      </c>
      <c r="AO17" s="67">
        <f t="shared" si="0"/>
        <v>0.6809513399931779</v>
      </c>
      <c r="AP17" s="31">
        <f t="shared" si="9"/>
        <v>764.8197414654378</v>
      </c>
      <c r="AQ17" s="31">
        <f t="shared" si="10"/>
        <v>783.460072200078</v>
      </c>
      <c r="AR17" s="31">
        <f t="shared" si="11"/>
        <v>84.86676669097092</v>
      </c>
      <c r="AS17" s="31">
        <f t="shared" si="12"/>
        <v>154.36009752650742</v>
      </c>
      <c r="AT17" s="31">
        <f t="shared" si="13"/>
        <v>61.253977358083525</v>
      </c>
      <c r="AU17" s="30">
        <f t="shared" si="36"/>
        <v>781.8659610245761</v>
      </c>
      <c r="AV17" s="30">
        <f t="shared" si="37"/>
        <v>-53.613690297142604</v>
      </c>
      <c r="AW17" s="30">
        <f t="shared" si="38"/>
        <v>-29.406575314201888</v>
      </c>
      <c r="AX17" s="30">
        <f t="shared" si="39"/>
        <v>198.77884834656956</v>
      </c>
      <c r="AY17" s="67">
        <f t="shared" si="1"/>
        <v>0.4149644478885376</v>
      </c>
      <c r="AZ17" s="31">
        <f t="shared" si="14"/>
        <v>466.07295281134043</v>
      </c>
      <c r="BA17" s="31">
        <f t="shared" si="15"/>
        <v>477.43217056666083</v>
      </c>
      <c r="BB17" s="31">
        <f t="shared" si="16"/>
        <v>51.71689798621572</v>
      </c>
      <c r="BC17" s="31">
        <f t="shared" si="17"/>
        <v>94.06538894063955</v>
      </c>
      <c r="BD17" s="31">
        <f t="shared" si="18"/>
        <v>37.32751725788331</v>
      </c>
      <c r="BE17" s="30">
        <f t="shared" si="40"/>
        <v>476.4607363026182</v>
      </c>
      <c r="BF17" s="30">
        <f t="shared" si="41"/>
        <v>-32.67160821453661</v>
      </c>
      <c r="BG17" s="30">
        <f t="shared" si="42"/>
        <v>-17.92005180527692</v>
      </c>
      <c r="BH17" s="30">
        <f t="shared" si="43"/>
        <v>121.13369959280786</v>
      </c>
    </row>
    <row r="18" spans="1:60" s="6" customFormat="1" ht="15">
      <c r="A18" s="72">
        <v>2029</v>
      </c>
      <c r="B18" s="15">
        <v>14</v>
      </c>
      <c r="C18" s="70">
        <f t="shared" si="19"/>
        <v>1710</v>
      </c>
      <c r="D18" s="102">
        <f>ROUNDDOWN('Permit Truck Totals'!H$16*C18,0)</f>
        <v>4915</v>
      </c>
      <c r="E18" s="116">
        <f>'Permit Truck Totals'!H$13*C18</f>
        <v>2020.6943999999996</v>
      </c>
      <c r="F18" s="117">
        <f>'Permit Truck Totals'!H$13*D18</f>
        <v>5808.019284210525</v>
      </c>
      <c r="G18" s="120">
        <f>'VMT Multipliers'!W$22</f>
        <v>0.5574940766550522</v>
      </c>
      <c r="H18" s="120">
        <f>'VMT Multipliers'!X$22</f>
        <v>0.27343108013937284</v>
      </c>
      <c r="I18" s="119">
        <f>'VMT Multipliers'!Y$22</f>
        <v>0.015675261324041814</v>
      </c>
      <c r="J18" s="119">
        <f>'VMT Multipliers'!Z$22</f>
        <v>0.061201672473867604</v>
      </c>
      <c r="K18" s="119">
        <f>'VMT Multipliers'!AA$22</f>
        <v>0.04143721254355401</v>
      </c>
      <c r="L18" s="118">
        <f>'VMT Multipliers'!W$20</f>
        <v>0.0013630662020905925</v>
      </c>
      <c r="M18" s="118">
        <f>'VMT Multipliers'!X$20</f>
        <v>0.10495609756097561</v>
      </c>
      <c r="N18" s="118">
        <f>'VMT Multipliers'!Y$20</f>
        <v>0.01622048780487805</v>
      </c>
      <c r="O18" s="118">
        <f>'VMT Multipliers'!Z$20</f>
        <v>0.01812878048780488</v>
      </c>
      <c r="P18" s="118">
        <f>'VMT Multipliers'!AA$20</f>
        <v>0.0012267595818815332</v>
      </c>
      <c r="Q18" s="26">
        <f t="shared" si="20"/>
        <v>1126.5251587300345</v>
      </c>
      <c r="R18" s="27">
        <f t="shared" si="21"/>
        <v>7.916714787397763</v>
      </c>
      <c r="S18" s="28">
        <f t="shared" si="22"/>
        <v>1134.4418735174322</v>
      </c>
      <c r="T18" s="26">
        <f t="shared" si="23"/>
        <v>552.5206524235819</v>
      </c>
      <c r="U18" s="27">
        <f t="shared" si="24"/>
        <v>609.5870386296276</v>
      </c>
      <c r="V18" s="28">
        <f t="shared" si="25"/>
        <v>1162.1076910532095</v>
      </c>
      <c r="W18" s="26">
        <f t="shared" si="26"/>
        <v>31.674912776027874</v>
      </c>
      <c r="X18" s="27">
        <f t="shared" si="27"/>
        <v>94.20890597003336</v>
      </c>
      <c r="Y18" s="28">
        <f t="shared" si="28"/>
        <v>125.88381874606122</v>
      </c>
      <c r="Z18" s="26">
        <f t="shared" si="29"/>
        <v>123.66987683857839</v>
      </c>
      <c r="AA18" s="27">
        <f t="shared" si="30"/>
        <v>105.29230667239024</v>
      </c>
      <c r="AB18" s="28">
        <f t="shared" si="31"/>
        <v>228.96218351096863</v>
      </c>
      <c r="AC18" s="26">
        <f t="shared" si="32"/>
        <v>83.73194333836932</v>
      </c>
      <c r="AD18" s="27">
        <f t="shared" si="33"/>
        <v>7.125043308657986</v>
      </c>
      <c r="AE18" s="28">
        <f t="shared" si="34"/>
        <v>90.8569866470273</v>
      </c>
      <c r="AF18" s="20">
        <f t="shared" si="2"/>
        <v>325.91845161290314</v>
      </c>
      <c r="AG18" s="20">
        <f t="shared" si="3"/>
        <v>237.0620116004296</v>
      </c>
      <c r="AH18" s="29">
        <f t="shared" si="4"/>
        <v>1159.7397542194656</v>
      </c>
      <c r="AI18" s="29">
        <f t="shared" si="5"/>
        <v>-79.52410219354836</v>
      </c>
      <c r="AJ18" s="29">
        <f t="shared" si="6"/>
        <v>-43.61941013447905</v>
      </c>
      <c r="AK18" s="33">
        <f t="shared" si="7"/>
        <v>121241.66399999998</v>
      </c>
      <c r="AL18" s="32">
        <f t="shared" si="8"/>
        <v>8.68211555904</v>
      </c>
      <c r="AM18" s="68">
        <v>34.53</v>
      </c>
      <c r="AN18" s="29">
        <f t="shared" si="35"/>
        <v>299.7934502536512</v>
      </c>
      <c r="AO18" s="67">
        <f t="shared" si="0"/>
        <v>0.6611178058186192</v>
      </c>
      <c r="AP18" s="31">
        <f t="shared" si="9"/>
        <v>749.9997222486084</v>
      </c>
      <c r="AQ18" s="31">
        <f t="shared" si="10"/>
        <v>768.2900868340397</v>
      </c>
      <c r="AR18" s="31">
        <f t="shared" si="11"/>
        <v>83.22403403746476</v>
      </c>
      <c r="AS18" s="31">
        <f t="shared" si="12"/>
        <v>151.37097637821162</v>
      </c>
      <c r="AT18" s="31">
        <f t="shared" si="13"/>
        <v>60.067171655374274</v>
      </c>
      <c r="AU18" s="30">
        <f t="shared" si="36"/>
        <v>766.7246016301979</v>
      </c>
      <c r="AV18" s="30">
        <f t="shared" si="37"/>
        <v>-52.574799951894335</v>
      </c>
      <c r="AW18" s="30">
        <f t="shared" si="38"/>
        <v>-28.83756871920923</v>
      </c>
      <c r="AX18" s="30">
        <f t="shared" si="39"/>
        <v>198.19878803048726</v>
      </c>
      <c r="AY18" s="67">
        <f t="shared" si="1"/>
        <v>0.3878172410173249</v>
      </c>
      <c r="AZ18" s="31">
        <f t="shared" si="14"/>
        <v>439.9561174820556</v>
      </c>
      <c r="BA18" s="31">
        <f t="shared" si="15"/>
        <v>450.6853985092695</v>
      </c>
      <c r="BB18" s="31">
        <f t="shared" si="16"/>
        <v>48.81991527482247</v>
      </c>
      <c r="BC18" s="31">
        <f t="shared" si="17"/>
        <v>88.7954823065263</v>
      </c>
      <c r="BD18" s="31">
        <f t="shared" si="18"/>
        <v>35.235905888598055</v>
      </c>
      <c r="BE18" s="30">
        <f t="shared" si="40"/>
        <v>449.7670717795036</v>
      </c>
      <c r="BF18" s="30">
        <f t="shared" si="41"/>
        <v>-30.84081790708172</v>
      </c>
      <c r="BG18" s="30">
        <f t="shared" si="42"/>
        <v>-16.916359293156805</v>
      </c>
      <c r="BH18" s="30">
        <f t="shared" si="43"/>
        <v>116.26506875243565</v>
      </c>
    </row>
    <row r="19" spans="1:60" s="6" customFormat="1" ht="15">
      <c r="A19" s="71">
        <v>2030</v>
      </c>
      <c r="B19" s="200">
        <v>15</v>
      </c>
      <c r="C19" s="70">
        <f t="shared" si="19"/>
        <v>1727</v>
      </c>
      <c r="D19" s="102">
        <f>ROUNDDOWN('Permit Truck Totals'!H$16*C19,0)</f>
        <v>4964</v>
      </c>
      <c r="E19" s="116">
        <f>'Permit Truck Totals'!H$13*C19</f>
        <v>2040.7831747368416</v>
      </c>
      <c r="F19" s="117">
        <f>'Permit Truck Totals'!H$13*D19</f>
        <v>5865.922223157893</v>
      </c>
      <c r="G19" s="120">
        <f>'VMT Multipliers'!W$22</f>
        <v>0.5574940766550522</v>
      </c>
      <c r="H19" s="120">
        <f>'VMT Multipliers'!X$22</f>
        <v>0.27343108013937284</v>
      </c>
      <c r="I19" s="119">
        <f>'VMT Multipliers'!Y$22</f>
        <v>0.015675261324041814</v>
      </c>
      <c r="J19" s="119">
        <f>'VMT Multipliers'!Z$22</f>
        <v>0.061201672473867604</v>
      </c>
      <c r="K19" s="119">
        <f>'VMT Multipliers'!AA$22</f>
        <v>0.04143721254355401</v>
      </c>
      <c r="L19" s="118">
        <f>'VMT Multipliers'!W$20</f>
        <v>0.0013630662020905925</v>
      </c>
      <c r="M19" s="118">
        <f>'VMT Multipliers'!X$20</f>
        <v>0.10495609756097561</v>
      </c>
      <c r="N19" s="118">
        <f>'VMT Multipliers'!Y$20</f>
        <v>0.01622048780487805</v>
      </c>
      <c r="O19" s="118">
        <f>'VMT Multipliers'!Z$20</f>
        <v>0.01812878048780488</v>
      </c>
      <c r="P19" s="118">
        <f>'VMT Multipliers'!AA$20</f>
        <v>0.0012267595818815332</v>
      </c>
      <c r="Q19" s="26">
        <f t="shared" si="20"/>
        <v>1137.7245316530816</v>
      </c>
      <c r="R19" s="27">
        <f t="shared" si="21"/>
        <v>7.995640326478635</v>
      </c>
      <c r="S19" s="28">
        <f t="shared" si="22"/>
        <v>1145.7201719795603</v>
      </c>
      <c r="T19" s="26">
        <f t="shared" si="23"/>
        <v>558.0135477985531</v>
      </c>
      <c r="U19" s="27">
        <f t="shared" si="24"/>
        <v>615.6643051388548</v>
      </c>
      <c r="V19" s="28">
        <f t="shared" si="25"/>
        <v>1173.6778529374078</v>
      </c>
      <c r="W19" s="26">
        <f t="shared" si="26"/>
        <v>31.98980956970768</v>
      </c>
      <c r="X19" s="27">
        <f t="shared" si="27"/>
        <v>95.14811988509574</v>
      </c>
      <c r="Y19" s="28">
        <f t="shared" si="28"/>
        <v>127.13792945480341</v>
      </c>
      <c r="Z19" s="26">
        <f t="shared" si="29"/>
        <v>124.8993434504239</v>
      </c>
      <c r="AA19" s="27">
        <f t="shared" si="30"/>
        <v>106.34201634216585</v>
      </c>
      <c r="AB19" s="28">
        <f t="shared" si="31"/>
        <v>231.24135979258975</v>
      </c>
      <c r="AC19" s="26">
        <f t="shared" si="32"/>
        <v>84.56436616687942</v>
      </c>
      <c r="AD19" s="27">
        <f t="shared" si="33"/>
        <v>7.196076293830771</v>
      </c>
      <c r="AE19" s="28">
        <f t="shared" si="34"/>
        <v>91.7604424607102</v>
      </c>
      <c r="AF19" s="20">
        <f t="shared" si="2"/>
        <v>329.1585765704583</v>
      </c>
      <c r="AG19" s="20">
        <f t="shared" si="3"/>
        <v>239.42539686358748</v>
      </c>
      <c r="AH19" s="29">
        <f t="shared" si="4"/>
        <v>1171.2829852741343</v>
      </c>
      <c r="AI19" s="29">
        <f t="shared" si="5"/>
        <v>-80.31469268319182</v>
      </c>
      <c r="AJ19" s="29">
        <f t="shared" si="6"/>
        <v>-44.0542730229001</v>
      </c>
      <c r="AK19" s="33">
        <f t="shared" si="7"/>
        <v>122446.9904842105</v>
      </c>
      <c r="AL19" s="32">
        <f t="shared" si="8"/>
        <v>8.768428988574314</v>
      </c>
      <c r="AM19" s="68">
        <v>35.1</v>
      </c>
      <c r="AN19" s="29">
        <f t="shared" si="35"/>
        <v>307.7718574989584</v>
      </c>
      <c r="AO19" s="67">
        <f t="shared" si="0"/>
        <v>0.6418619473967176</v>
      </c>
      <c r="AP19" s="31">
        <f t="shared" si="9"/>
        <v>735.3941807585028</v>
      </c>
      <c r="AQ19" s="31">
        <f t="shared" si="10"/>
        <v>753.339152302803</v>
      </c>
      <c r="AR19" s="31">
        <f t="shared" si="11"/>
        <v>81.60499898784663</v>
      </c>
      <c r="AS19" s="31">
        <f t="shared" si="12"/>
        <v>148.42502951513669</v>
      </c>
      <c r="AT19" s="31">
        <f t="shared" si="13"/>
        <v>58.897536291815904</v>
      </c>
      <c r="AU19" s="30">
        <f t="shared" si="36"/>
        <v>751.8019778806968</v>
      </c>
      <c r="AV19" s="30">
        <f t="shared" si="37"/>
        <v>-51.550945050202415</v>
      </c>
      <c r="AW19" s="30">
        <f t="shared" si="38"/>
        <v>-28.27676147362534</v>
      </c>
      <c r="AX19" s="30">
        <f t="shared" si="39"/>
        <v>197.54704380818652</v>
      </c>
      <c r="AY19" s="67">
        <f t="shared" si="1"/>
        <v>0.3624460196423597</v>
      </c>
      <c r="AZ19" s="31">
        <f t="shared" si="14"/>
        <v>415.2617159579514</v>
      </c>
      <c r="BA19" s="31">
        <f t="shared" si="15"/>
        <v>425.3948661395542</v>
      </c>
      <c r="BB19" s="31">
        <f t="shared" si="16"/>
        <v>46.08063647646462</v>
      </c>
      <c r="BC19" s="31">
        <f t="shared" si="17"/>
        <v>83.81251043351095</v>
      </c>
      <c r="BD19" s="31">
        <f t="shared" si="18"/>
        <v>33.25820713050618</v>
      </c>
      <c r="BE19" s="30">
        <f t="shared" si="40"/>
        <v>424.52685588743054</v>
      </c>
      <c r="BF19" s="30">
        <f t="shared" si="41"/>
        <v>-29.109740681822224</v>
      </c>
      <c r="BG19" s="30">
        <f t="shared" si="42"/>
        <v>-15.967295905387925</v>
      </c>
      <c r="BH19" s="30">
        <f t="shared" si="43"/>
        <v>111.550684708433</v>
      </c>
    </row>
    <row r="20" spans="1:60" s="6" customFormat="1" ht="15">
      <c r="A20" s="72">
        <v>2031</v>
      </c>
      <c r="B20" s="15">
        <v>16</v>
      </c>
      <c r="C20" s="70">
        <f t="shared" si="19"/>
        <v>1744</v>
      </c>
      <c r="D20" s="102">
        <f>ROUNDDOWN('Permit Truck Totals'!H$16*C20,0)</f>
        <v>5012</v>
      </c>
      <c r="E20" s="116">
        <f>'Permit Truck Totals'!H$13*C20</f>
        <v>2060.871949473684</v>
      </c>
      <c r="F20" s="117">
        <f>'Permit Truck Totals'!H$13*D20</f>
        <v>5922.643469473683</v>
      </c>
      <c r="G20" s="120">
        <f>'VMT Multipliers'!W$22</f>
        <v>0.5574940766550522</v>
      </c>
      <c r="H20" s="120">
        <f>'VMT Multipliers'!X$22</f>
        <v>0.27343108013937284</v>
      </c>
      <c r="I20" s="119">
        <f>'VMT Multipliers'!Y$22</f>
        <v>0.015675261324041814</v>
      </c>
      <c r="J20" s="119">
        <f>'VMT Multipliers'!Z$22</f>
        <v>0.061201672473867604</v>
      </c>
      <c r="K20" s="119">
        <f>'VMT Multipliers'!AA$22</f>
        <v>0.04143721254355401</v>
      </c>
      <c r="L20" s="118">
        <f>'VMT Multipliers'!W$20</f>
        <v>0.0013630662020905925</v>
      </c>
      <c r="M20" s="118">
        <f>'VMT Multipliers'!X$20</f>
        <v>0.10495609756097561</v>
      </c>
      <c r="N20" s="118">
        <f>'VMT Multipliers'!Y$20</f>
        <v>0.01622048780487805</v>
      </c>
      <c r="O20" s="118">
        <f>'VMT Multipliers'!Z$20</f>
        <v>0.01812878048780488</v>
      </c>
      <c r="P20" s="118">
        <f>'VMT Multipliers'!AA$20</f>
        <v>0.0012267595818815332</v>
      </c>
      <c r="Q20" s="26">
        <f t="shared" si="20"/>
        <v>1148.9239045761287</v>
      </c>
      <c r="R20" s="27">
        <f t="shared" si="21"/>
        <v>8.072955140272143</v>
      </c>
      <c r="S20" s="28">
        <f t="shared" si="22"/>
        <v>1156.9968597164009</v>
      </c>
      <c r="T20" s="26">
        <f t="shared" si="23"/>
        <v>563.5064431735244</v>
      </c>
      <c r="U20" s="27">
        <f t="shared" si="24"/>
        <v>621.6175458009549</v>
      </c>
      <c r="V20" s="28">
        <f t="shared" si="25"/>
        <v>1185.1239889744793</v>
      </c>
      <c r="W20" s="26">
        <f t="shared" si="26"/>
        <v>32.30470636338749</v>
      </c>
      <c r="X20" s="27">
        <f t="shared" si="27"/>
        <v>96.06816616923848</v>
      </c>
      <c r="Y20" s="28">
        <f t="shared" si="28"/>
        <v>128.37287253262596</v>
      </c>
      <c r="Z20" s="26">
        <f t="shared" si="29"/>
        <v>126.12881006226942</v>
      </c>
      <c r="AA20" s="27">
        <f t="shared" si="30"/>
        <v>107.37030336561949</v>
      </c>
      <c r="AB20" s="28">
        <f t="shared" si="31"/>
        <v>233.49911342788891</v>
      </c>
      <c r="AC20" s="26">
        <f t="shared" si="32"/>
        <v>85.39678899538953</v>
      </c>
      <c r="AD20" s="27">
        <f t="shared" si="33"/>
        <v>7.265659626244928</v>
      </c>
      <c r="AE20" s="28">
        <f t="shared" si="34"/>
        <v>92.66244862163445</v>
      </c>
      <c r="AF20" s="20">
        <f t="shared" si="2"/>
        <v>332.39870152801353</v>
      </c>
      <c r="AG20" s="20">
        <f t="shared" si="3"/>
        <v>241.74054977443603</v>
      </c>
      <c r="AH20" s="29">
        <f t="shared" si="4"/>
        <v>1182.726857683046</v>
      </c>
      <c r="AI20" s="29">
        <f t="shared" si="5"/>
        <v>-81.1052831728353</v>
      </c>
      <c r="AJ20" s="29">
        <f t="shared" si="6"/>
        <v>-44.480261158496226</v>
      </c>
      <c r="AK20" s="33">
        <f t="shared" si="7"/>
        <v>123652.31696842103</v>
      </c>
      <c r="AL20" s="32">
        <f t="shared" si="8"/>
        <v>8.854742418108628</v>
      </c>
      <c r="AM20" s="68">
        <v>35.67</v>
      </c>
      <c r="AN20" s="29">
        <f t="shared" si="35"/>
        <v>315.8486620539348</v>
      </c>
      <c r="AO20" s="67">
        <f t="shared" si="0"/>
        <v>0.6231669392201143</v>
      </c>
      <c r="AP20" s="31">
        <f t="shared" si="9"/>
        <v>721.0021917567535</v>
      </c>
      <c r="AQ20" s="31">
        <f t="shared" si="10"/>
        <v>738.5300888055588</v>
      </c>
      <c r="AR20" s="31">
        <f t="shared" si="11"/>
        <v>79.99773005505041</v>
      </c>
      <c r="AS20" s="31">
        <f t="shared" si="12"/>
        <v>145.50892782546785</v>
      </c>
      <c r="AT20" s="31">
        <f t="shared" si="13"/>
        <v>57.744174488185045</v>
      </c>
      <c r="AU20" s="30">
        <f t="shared" si="36"/>
        <v>737.0362758357676</v>
      </c>
      <c r="AV20" s="30">
        <f t="shared" si="37"/>
        <v>-50.54213106939642</v>
      </c>
      <c r="AW20" s="30">
        <f t="shared" si="38"/>
        <v>-27.71862820185143</v>
      </c>
      <c r="AX20" s="30">
        <f t="shared" si="39"/>
        <v>196.8264439889188</v>
      </c>
      <c r="AY20" s="67">
        <f t="shared" si="1"/>
        <v>0.33873459779659787</v>
      </c>
      <c r="AZ20" s="31">
        <f t="shared" si="14"/>
        <v>391.91486592796184</v>
      </c>
      <c r="BA20" s="31">
        <f t="shared" si="15"/>
        <v>401.4424977443699</v>
      </c>
      <c r="BB20" s="31">
        <f t="shared" si="16"/>
        <v>43.484333345332985</v>
      </c>
      <c r="BC20" s="31">
        <f t="shared" si="17"/>
        <v>79.09422827285813</v>
      </c>
      <c r="BD20" s="31">
        <f t="shared" si="18"/>
        <v>31.387977264697263</v>
      </c>
      <c r="BE20" s="30">
        <f t="shared" si="40"/>
        <v>400.63050644050065</v>
      </c>
      <c r="BF20" s="30">
        <f t="shared" si="41"/>
        <v>-27.47316547472954</v>
      </c>
      <c r="BG20" s="30">
        <f t="shared" si="42"/>
        <v>-15.067003373410854</v>
      </c>
      <c r="BH20" s="30">
        <f t="shared" si="43"/>
        <v>106.98886950543316</v>
      </c>
    </row>
    <row r="21" spans="1:60" s="6" customFormat="1" ht="15">
      <c r="A21" s="71">
        <v>2032</v>
      </c>
      <c r="B21" s="15">
        <v>17</v>
      </c>
      <c r="C21" s="70">
        <f t="shared" si="19"/>
        <v>1762</v>
      </c>
      <c r="D21" s="102">
        <f>ROUNDDOWN('Permit Truck Totals'!H$16*C21,0)</f>
        <v>5064</v>
      </c>
      <c r="E21" s="116">
        <f>'Permit Truck Totals'!H$13*C21</f>
        <v>2082.142416842105</v>
      </c>
      <c r="F21" s="117">
        <f>'Permit Truck Totals'!H$13*D21</f>
        <v>5984.091486315788</v>
      </c>
      <c r="G21" s="120">
        <f>'VMT Multipliers'!W$22</f>
        <v>0.5574940766550522</v>
      </c>
      <c r="H21" s="120">
        <f>'VMT Multipliers'!X$22</f>
        <v>0.27343108013937284</v>
      </c>
      <c r="I21" s="119">
        <f>'VMT Multipliers'!Y$22</f>
        <v>0.015675261324041814</v>
      </c>
      <c r="J21" s="119">
        <f>'VMT Multipliers'!Z$22</f>
        <v>0.061201672473867604</v>
      </c>
      <c r="K21" s="119">
        <f>'VMT Multipliers'!AA$22</f>
        <v>0.04143721254355401</v>
      </c>
      <c r="L21" s="118">
        <f>'VMT Multipliers'!W$20</f>
        <v>0.0013630662020905925</v>
      </c>
      <c r="M21" s="118">
        <f>'VMT Multipliers'!X$20</f>
        <v>0.10495609756097561</v>
      </c>
      <c r="N21" s="118">
        <f>'VMT Multipliers'!Y$20</f>
        <v>0.01622048780487805</v>
      </c>
      <c r="O21" s="118">
        <f>'VMT Multipliers'!Z$20</f>
        <v>0.01812878048780488</v>
      </c>
      <c r="P21" s="118">
        <f>'VMT Multipliers'!AA$20</f>
        <v>0.0012267595818815332</v>
      </c>
      <c r="Q21" s="26">
        <f t="shared" si="20"/>
        <v>1160.7820641417081</v>
      </c>
      <c r="R21" s="27">
        <f t="shared" si="21"/>
        <v>8.15671285521511</v>
      </c>
      <c r="S21" s="28">
        <f t="shared" si="22"/>
        <v>1168.9387769969233</v>
      </c>
      <c r="T21" s="26">
        <f t="shared" si="23"/>
        <v>569.322450041141</v>
      </c>
      <c r="U21" s="27">
        <f t="shared" si="24"/>
        <v>628.0668898515634</v>
      </c>
      <c r="V21" s="28">
        <f t="shared" si="25"/>
        <v>1197.3893398927044</v>
      </c>
      <c r="W21" s="26">
        <f t="shared" si="26"/>
        <v>32.638126497871994</v>
      </c>
      <c r="X21" s="27">
        <f t="shared" si="27"/>
        <v>97.0648829770598</v>
      </c>
      <c r="Y21" s="28">
        <f t="shared" si="28"/>
        <v>129.70300947493178</v>
      </c>
      <c r="Z21" s="26">
        <f t="shared" si="29"/>
        <v>127.43059823951762</v>
      </c>
      <c r="AA21" s="27">
        <f t="shared" si="30"/>
        <v>108.48428097436096</v>
      </c>
      <c r="AB21" s="28">
        <f t="shared" si="31"/>
        <v>235.91487921387858</v>
      </c>
      <c r="AC21" s="26">
        <f t="shared" si="32"/>
        <v>86.27817787263552</v>
      </c>
      <c r="AD21" s="27">
        <f t="shared" si="33"/>
        <v>7.341041569693599</v>
      </c>
      <c r="AE21" s="28">
        <f t="shared" si="34"/>
        <v>93.61921944232913</v>
      </c>
      <c r="AF21" s="20">
        <f t="shared" si="2"/>
        <v>335.82942207130725</v>
      </c>
      <c r="AG21" s="20">
        <f t="shared" si="3"/>
        <v>244.24863209452195</v>
      </c>
      <c r="AH21" s="29">
        <f t="shared" si="4"/>
        <v>1194.960791581608</v>
      </c>
      <c r="AI21" s="29">
        <f t="shared" si="5"/>
        <v>-81.94237898539896</v>
      </c>
      <c r="AJ21" s="29">
        <f t="shared" si="6"/>
        <v>-44.94174830539204</v>
      </c>
      <c r="AK21" s="33">
        <f t="shared" si="7"/>
        <v>124928.5450105263</v>
      </c>
      <c r="AL21" s="32">
        <f t="shared" si="8"/>
        <v>8.946133108203789</v>
      </c>
      <c r="AM21" s="68">
        <v>36.24</v>
      </c>
      <c r="AN21" s="29">
        <f t="shared" si="35"/>
        <v>324.2078638413053</v>
      </c>
      <c r="AO21" s="67">
        <f t="shared" si="0"/>
        <v>0.6050164458447712</v>
      </c>
      <c r="AP21" s="31">
        <f t="shared" si="9"/>
        <v>707.2271842688122</v>
      </c>
      <c r="AQ21" s="31">
        <f t="shared" si="10"/>
        <v>724.4402427143007</v>
      </c>
      <c r="AR21" s="31">
        <f t="shared" si="11"/>
        <v>78.47245380789391</v>
      </c>
      <c r="AS21" s="31">
        <f t="shared" si="12"/>
        <v>142.7323817438793</v>
      </c>
      <c r="AT21" s="31">
        <f t="shared" si="13"/>
        <v>56.641167409759674</v>
      </c>
      <c r="AU21" s="30">
        <f t="shared" si="36"/>
        <v>722.9709310465588</v>
      </c>
      <c r="AV21" s="30">
        <f t="shared" si="37"/>
        <v>-49.57648689781135</v>
      </c>
      <c r="AW21" s="30">
        <f t="shared" si="38"/>
        <v>-27.19049682977856</v>
      </c>
      <c r="AX21" s="30">
        <f t="shared" si="39"/>
        <v>196.15108949619204</v>
      </c>
      <c r="AY21" s="67">
        <f t="shared" si="1"/>
        <v>0.3165743904641102</v>
      </c>
      <c r="AZ21" s="31">
        <f t="shared" si="14"/>
        <v>370.05608081766337</v>
      </c>
      <c r="BA21" s="31">
        <f t="shared" si="15"/>
        <v>379.0628004247561</v>
      </c>
      <c r="BB21" s="31">
        <f t="shared" si="16"/>
        <v>41.060651165887236</v>
      </c>
      <c r="BC21" s="31">
        <f t="shared" si="17"/>
        <v>74.68460908854779</v>
      </c>
      <c r="BD21" s="31">
        <f t="shared" si="18"/>
        <v>29.637447330681116</v>
      </c>
      <c r="BE21" s="30">
        <f t="shared" si="40"/>
        <v>378.29398422345815</v>
      </c>
      <c r="BF21" s="30">
        <f t="shared" si="41"/>
        <v>-25.940858680481785</v>
      </c>
      <c r="BG21" s="30">
        <f t="shared" si="42"/>
        <v>-14.22740657617094</v>
      </c>
      <c r="BH21" s="30">
        <f t="shared" si="43"/>
        <v>102.63590687923245</v>
      </c>
    </row>
    <row r="22" spans="1:60" s="6" customFormat="1" ht="15">
      <c r="A22" s="72">
        <v>2033</v>
      </c>
      <c r="B22" s="200">
        <v>18</v>
      </c>
      <c r="C22" s="70">
        <f t="shared" si="19"/>
        <v>1779</v>
      </c>
      <c r="D22" s="102">
        <f>ROUNDDOWN('Permit Truck Totals'!H$16*C22,0)</f>
        <v>5113</v>
      </c>
      <c r="E22" s="116">
        <f>'Permit Truck Totals'!H$13*C22</f>
        <v>2102.231191578947</v>
      </c>
      <c r="F22" s="117">
        <f>'Permit Truck Totals'!H$13*D22</f>
        <v>6041.994425263157</v>
      </c>
      <c r="G22" s="120">
        <f>'VMT Multipliers'!W$22</f>
        <v>0.5574940766550522</v>
      </c>
      <c r="H22" s="120">
        <f>'VMT Multipliers'!X$22</f>
        <v>0.27343108013937284</v>
      </c>
      <c r="I22" s="119">
        <f>'VMT Multipliers'!Y$22</f>
        <v>0.015675261324041814</v>
      </c>
      <c r="J22" s="119">
        <f>'VMT Multipliers'!Z$22</f>
        <v>0.061201672473867604</v>
      </c>
      <c r="K22" s="119">
        <f>'VMT Multipliers'!AA$22</f>
        <v>0.04143721254355401</v>
      </c>
      <c r="L22" s="118">
        <f>'VMT Multipliers'!W$20</f>
        <v>0.0013630662020905925</v>
      </c>
      <c r="M22" s="118">
        <f>'VMT Multipliers'!X$20</f>
        <v>0.10495609756097561</v>
      </c>
      <c r="N22" s="118">
        <f>'VMT Multipliers'!Y$20</f>
        <v>0.01622048780487805</v>
      </c>
      <c r="O22" s="118">
        <f>'VMT Multipliers'!Z$20</f>
        <v>0.01812878048780488</v>
      </c>
      <c r="P22" s="118">
        <f>'VMT Multipliers'!AA$20</f>
        <v>0.0012267595818815332</v>
      </c>
      <c r="Q22" s="26">
        <f t="shared" si="20"/>
        <v>1171.9814370647553</v>
      </c>
      <c r="R22" s="27">
        <f t="shared" si="21"/>
        <v>8.235638394295984</v>
      </c>
      <c r="S22" s="28">
        <f t="shared" si="22"/>
        <v>1180.2170754590513</v>
      </c>
      <c r="T22" s="26">
        <f t="shared" si="23"/>
        <v>574.8153454161123</v>
      </c>
      <c r="U22" s="27">
        <f t="shared" si="24"/>
        <v>634.1441563607906</v>
      </c>
      <c r="V22" s="28">
        <f t="shared" si="25"/>
        <v>1208.959501776903</v>
      </c>
      <c r="W22" s="26">
        <f t="shared" si="26"/>
        <v>32.9530232915518</v>
      </c>
      <c r="X22" s="27">
        <f t="shared" si="27"/>
        <v>98.00409689212219</v>
      </c>
      <c r="Y22" s="28">
        <f t="shared" si="28"/>
        <v>130.957120183674</v>
      </c>
      <c r="Z22" s="26">
        <f t="shared" si="29"/>
        <v>128.66006485136313</v>
      </c>
      <c r="AA22" s="27">
        <f t="shared" si="30"/>
        <v>109.53399064413658</v>
      </c>
      <c r="AB22" s="28">
        <f t="shared" si="31"/>
        <v>238.1940554954997</v>
      </c>
      <c r="AC22" s="26">
        <f t="shared" si="32"/>
        <v>87.11060070114563</v>
      </c>
      <c r="AD22" s="27">
        <f t="shared" si="33"/>
        <v>7.4120745548663844</v>
      </c>
      <c r="AE22" s="28">
        <f t="shared" si="34"/>
        <v>94.52267525601201</v>
      </c>
      <c r="AF22" s="20">
        <f t="shared" si="2"/>
        <v>339.0695470288624</v>
      </c>
      <c r="AG22" s="20">
        <f t="shared" si="3"/>
        <v>246.61201735767986</v>
      </c>
      <c r="AH22" s="29">
        <f t="shared" si="4"/>
        <v>1206.504022636277</v>
      </c>
      <c r="AI22" s="29">
        <f t="shared" si="5"/>
        <v>-82.73296947504242</v>
      </c>
      <c r="AJ22" s="29">
        <f t="shared" si="6"/>
        <v>-45.37661119381309</v>
      </c>
      <c r="AK22" s="33">
        <f t="shared" si="7"/>
        <v>126133.87149473681</v>
      </c>
      <c r="AL22" s="32">
        <f t="shared" si="8"/>
        <v>9.032446537738103</v>
      </c>
      <c r="AM22" s="68">
        <v>36.81</v>
      </c>
      <c r="AN22" s="29">
        <f t="shared" si="35"/>
        <v>332.4843570541396</v>
      </c>
      <c r="AO22" s="67">
        <f t="shared" si="0"/>
        <v>0.5873946076162827</v>
      </c>
      <c r="AP22" s="31">
        <f t="shared" si="9"/>
        <v>693.2531459413061</v>
      </c>
      <c r="AQ22" s="31">
        <f t="shared" si="10"/>
        <v>710.1362921702205</v>
      </c>
      <c r="AR22" s="31">
        <f t="shared" si="11"/>
        <v>76.92350622484756</v>
      </c>
      <c r="AS22" s="31">
        <f t="shared" si="12"/>
        <v>139.9139037643101</v>
      </c>
      <c r="AT22" s="31">
        <f t="shared" si="13"/>
        <v>55.52210974284649</v>
      </c>
      <c r="AU22" s="30">
        <f t="shared" si="36"/>
        <v>708.6939569639027</v>
      </c>
      <c r="AV22" s="30">
        <f t="shared" si="37"/>
        <v>-48.596900141722436</v>
      </c>
      <c r="AW22" s="30">
        <f t="shared" si="38"/>
        <v>-26.65397672714646</v>
      </c>
      <c r="AX22" s="30">
        <f t="shared" si="39"/>
        <v>195.29951845036837</v>
      </c>
      <c r="AY22" s="67">
        <f t="shared" si="1"/>
        <v>0.29586391632159825</v>
      </c>
      <c r="AZ22" s="31">
        <f t="shared" si="14"/>
        <v>349.18364605493815</v>
      </c>
      <c r="BA22" s="31">
        <f t="shared" si="15"/>
        <v>357.6874928699227</v>
      </c>
      <c r="BB22" s="31">
        <f t="shared" si="16"/>
        <v>38.74548644774001</v>
      </c>
      <c r="BC22" s="31">
        <f t="shared" si="17"/>
        <v>70.47302610342265</v>
      </c>
      <c r="BD22" s="31">
        <f t="shared" si="18"/>
        <v>27.965848882438344</v>
      </c>
      <c r="BE22" s="30">
        <f t="shared" si="40"/>
        <v>356.9610051949312</v>
      </c>
      <c r="BF22" s="30">
        <f t="shared" si="41"/>
        <v>-24.477700357801293</v>
      </c>
      <c r="BG22" s="30">
        <f t="shared" si="42"/>
        <v>-13.425301897204015</v>
      </c>
      <c r="BH22" s="30">
        <f t="shared" si="43"/>
        <v>98.37012399370636</v>
      </c>
    </row>
    <row r="23" spans="1:60" s="6" customFormat="1" ht="15">
      <c r="A23" s="71">
        <v>2034</v>
      </c>
      <c r="B23" s="15">
        <v>19</v>
      </c>
      <c r="C23" s="70">
        <f t="shared" si="19"/>
        <v>1797</v>
      </c>
      <c r="D23" s="102">
        <f>ROUNDDOWN('Permit Truck Totals'!H$16*C23,0)</f>
        <v>5165</v>
      </c>
      <c r="E23" s="116">
        <f>'Permit Truck Totals'!H$13*C23</f>
        <v>2123.501658947368</v>
      </c>
      <c r="F23" s="117">
        <f>'Permit Truck Totals'!H$13*D23</f>
        <v>6103.442442105262</v>
      </c>
      <c r="G23" s="120">
        <f>'VMT Multipliers'!W$22</f>
        <v>0.5574940766550522</v>
      </c>
      <c r="H23" s="120">
        <f>'VMT Multipliers'!X$22</f>
        <v>0.27343108013937284</v>
      </c>
      <c r="I23" s="119">
        <f>'VMT Multipliers'!Y$22</f>
        <v>0.015675261324041814</v>
      </c>
      <c r="J23" s="119">
        <f>'VMT Multipliers'!Z$22</f>
        <v>0.061201672473867604</v>
      </c>
      <c r="K23" s="119">
        <f>'VMT Multipliers'!AA$22</f>
        <v>0.04143721254355401</v>
      </c>
      <c r="L23" s="118">
        <f>'VMT Multipliers'!W$20</f>
        <v>0.0013630662020905925</v>
      </c>
      <c r="M23" s="118">
        <f>'VMT Multipliers'!X$20</f>
        <v>0.10495609756097561</v>
      </c>
      <c r="N23" s="118">
        <f>'VMT Multipliers'!Y$20</f>
        <v>0.01622048780487805</v>
      </c>
      <c r="O23" s="118">
        <f>'VMT Multipliers'!Z$20</f>
        <v>0.01812878048780488</v>
      </c>
      <c r="P23" s="118">
        <f>'VMT Multipliers'!AA$20</f>
        <v>0.0012267595818815332</v>
      </c>
      <c r="Q23" s="26">
        <f t="shared" si="20"/>
        <v>1183.8395966303347</v>
      </c>
      <c r="R23" s="27">
        <f t="shared" si="21"/>
        <v>8.31939610923895</v>
      </c>
      <c r="S23" s="28">
        <f t="shared" si="22"/>
        <v>1192.1589927395737</v>
      </c>
      <c r="T23" s="26">
        <f t="shared" si="23"/>
        <v>580.6313522837289</v>
      </c>
      <c r="U23" s="27">
        <f t="shared" si="24"/>
        <v>640.5935004113991</v>
      </c>
      <c r="V23" s="28">
        <f t="shared" si="25"/>
        <v>1221.224852695128</v>
      </c>
      <c r="W23" s="26">
        <f t="shared" si="26"/>
        <v>33.28644342603631</v>
      </c>
      <c r="X23" s="27">
        <f t="shared" si="27"/>
        <v>99.00081369994349</v>
      </c>
      <c r="Y23" s="28">
        <f t="shared" si="28"/>
        <v>132.2872571259798</v>
      </c>
      <c r="Z23" s="26">
        <f t="shared" si="29"/>
        <v>129.96185302861133</v>
      </c>
      <c r="AA23" s="27">
        <f t="shared" si="30"/>
        <v>110.64796825287804</v>
      </c>
      <c r="AB23" s="28">
        <f t="shared" si="31"/>
        <v>240.60982128148936</v>
      </c>
      <c r="AC23" s="26">
        <f t="shared" si="32"/>
        <v>87.99198957839162</v>
      </c>
      <c r="AD23" s="27">
        <f t="shared" si="33"/>
        <v>7.487456498315055</v>
      </c>
      <c r="AE23" s="28">
        <f t="shared" si="34"/>
        <v>95.47944607670668</v>
      </c>
      <c r="AF23" s="20">
        <f t="shared" si="2"/>
        <v>342.50026757215613</v>
      </c>
      <c r="AG23" s="20">
        <f t="shared" si="3"/>
        <v>249.12009967776578</v>
      </c>
      <c r="AH23" s="29">
        <f t="shared" si="4"/>
        <v>1218.737956534839</v>
      </c>
      <c r="AI23" s="29">
        <f t="shared" si="5"/>
        <v>-83.5700652876061</v>
      </c>
      <c r="AJ23" s="29">
        <f t="shared" si="6"/>
        <v>-45.8380983407089</v>
      </c>
      <c r="AK23" s="33">
        <f t="shared" si="7"/>
        <v>127410.09953684208</v>
      </c>
      <c r="AL23" s="32">
        <f t="shared" si="8"/>
        <v>9.123837227833262</v>
      </c>
      <c r="AM23" s="68">
        <v>37.38</v>
      </c>
      <c r="AN23" s="29">
        <f t="shared" si="35"/>
        <v>341.04903557640733</v>
      </c>
      <c r="AO23" s="67">
        <f t="shared" si="0"/>
        <v>0.570286026811925</v>
      </c>
      <c r="AP23" s="31">
        <f t="shared" si="9"/>
        <v>679.871615297558</v>
      </c>
      <c r="AQ23" s="31">
        <f t="shared" si="10"/>
        <v>696.4474690874829</v>
      </c>
      <c r="AR23" s="31">
        <f t="shared" si="11"/>
        <v>75.44157426422254</v>
      </c>
      <c r="AS23" s="31">
        <f t="shared" si="12"/>
        <v>137.2164189905479</v>
      </c>
      <c r="AT23" s="31">
        <f t="shared" si="13"/>
        <v>54.45059394528849</v>
      </c>
      <c r="AU23" s="30">
        <f t="shared" si="36"/>
        <v>695.0292269571379</v>
      </c>
      <c r="AV23" s="30">
        <f t="shared" si="37"/>
        <v>-47.65884049328205</v>
      </c>
      <c r="AW23" s="30">
        <f t="shared" si="38"/>
        <v>-26.14082697933717</v>
      </c>
      <c r="AX23" s="30">
        <f t="shared" si="39"/>
        <v>194.49549944690818</v>
      </c>
      <c r="AY23" s="67">
        <f t="shared" si="1"/>
        <v>0.2765083330108395</v>
      </c>
      <c r="AZ23" s="31">
        <f t="shared" si="14"/>
        <v>329.64189576630105</v>
      </c>
      <c r="BA23" s="31">
        <f t="shared" si="15"/>
        <v>337.67884825013783</v>
      </c>
      <c r="BB23" s="31">
        <f t="shared" si="16"/>
        <v>36.57852894648097</v>
      </c>
      <c r="BC23" s="31">
        <f t="shared" si="17"/>
        <v>66.53062058858063</v>
      </c>
      <c r="BD23" s="31">
        <f t="shared" si="18"/>
        <v>26.400862471468503</v>
      </c>
      <c r="BE23" s="30">
        <f t="shared" si="40"/>
        <v>336.9912007384853</v>
      </c>
      <c r="BF23" s="30">
        <f t="shared" si="41"/>
        <v>-23.107819442282985</v>
      </c>
      <c r="BG23" s="30">
        <f t="shared" si="42"/>
        <v>-12.674616160576347</v>
      </c>
      <c r="BH23" s="30">
        <f t="shared" si="43"/>
        <v>94.30290030218688</v>
      </c>
    </row>
    <row r="24" spans="1:60" s="6" customFormat="1" ht="15">
      <c r="A24" s="72">
        <v>2035</v>
      </c>
      <c r="B24" s="15">
        <v>20</v>
      </c>
      <c r="C24" s="70">
        <f t="shared" si="19"/>
        <v>1815</v>
      </c>
      <c r="D24" s="102">
        <f>ROUNDDOWN('Permit Truck Totals'!H$16*C24,0)</f>
        <v>5217</v>
      </c>
      <c r="E24" s="116">
        <f>'Permit Truck Totals'!H$13*C24</f>
        <v>2144.772126315789</v>
      </c>
      <c r="F24" s="117">
        <f>'Permit Truck Totals'!H$13*D24</f>
        <v>6164.890458947367</v>
      </c>
      <c r="G24" s="120">
        <f>'VMT Multipliers'!W$22</f>
        <v>0.5574940766550522</v>
      </c>
      <c r="H24" s="120">
        <f>'VMT Multipliers'!X$22</f>
        <v>0.27343108013937284</v>
      </c>
      <c r="I24" s="119">
        <f>'VMT Multipliers'!Y$22</f>
        <v>0.015675261324041814</v>
      </c>
      <c r="J24" s="119">
        <f>'VMT Multipliers'!Z$22</f>
        <v>0.061201672473867604</v>
      </c>
      <c r="K24" s="119">
        <f>'VMT Multipliers'!AA$22</f>
        <v>0.04143721254355401</v>
      </c>
      <c r="L24" s="118">
        <f>'VMT Multipliers'!W$20</f>
        <v>0.0013630662020905925</v>
      </c>
      <c r="M24" s="118">
        <f>'VMT Multipliers'!X$20</f>
        <v>0.10495609756097561</v>
      </c>
      <c r="N24" s="118">
        <f>'VMT Multipliers'!Y$20</f>
        <v>0.01622048780487805</v>
      </c>
      <c r="O24" s="118">
        <f>'VMT Multipliers'!Z$20</f>
        <v>0.01812878048780488</v>
      </c>
      <c r="P24" s="118">
        <f>'VMT Multipliers'!AA$20</f>
        <v>0.0012267595818815332</v>
      </c>
      <c r="Q24" s="26">
        <f t="shared" si="20"/>
        <v>1195.6977561959138</v>
      </c>
      <c r="R24" s="27">
        <f t="shared" si="21"/>
        <v>8.403153824181917</v>
      </c>
      <c r="S24" s="28">
        <f t="shared" si="22"/>
        <v>1204.1009100200959</v>
      </c>
      <c r="T24" s="26">
        <f t="shared" si="23"/>
        <v>586.4473591513456</v>
      </c>
      <c r="U24" s="27">
        <f t="shared" si="24"/>
        <v>647.0428444620076</v>
      </c>
      <c r="V24" s="28">
        <f t="shared" si="25"/>
        <v>1233.490203613353</v>
      </c>
      <c r="W24" s="26">
        <f t="shared" si="26"/>
        <v>33.61986356052081</v>
      </c>
      <c r="X24" s="27">
        <f t="shared" si="27"/>
        <v>99.9975305077648</v>
      </c>
      <c r="Y24" s="28">
        <f t="shared" si="28"/>
        <v>133.6173940682856</v>
      </c>
      <c r="Z24" s="26">
        <f t="shared" si="29"/>
        <v>131.26364120585953</v>
      </c>
      <c r="AA24" s="27">
        <f t="shared" si="30"/>
        <v>111.7619458616195</v>
      </c>
      <c r="AB24" s="28">
        <f t="shared" si="31"/>
        <v>243.02558706747902</v>
      </c>
      <c r="AC24" s="26">
        <f t="shared" si="32"/>
        <v>88.87337845563762</v>
      </c>
      <c r="AD24" s="27">
        <f t="shared" si="33"/>
        <v>7.562838441763725</v>
      </c>
      <c r="AE24" s="28">
        <f t="shared" si="34"/>
        <v>96.43621689740135</v>
      </c>
      <c r="AF24" s="20">
        <f t="shared" si="2"/>
        <v>345.93098811544985</v>
      </c>
      <c r="AG24" s="20">
        <f t="shared" si="3"/>
        <v>251.6281819978517</v>
      </c>
      <c r="AH24" s="29">
        <f t="shared" si="4"/>
        <v>1230.9718904334013</v>
      </c>
      <c r="AI24" s="29">
        <f t="shared" si="5"/>
        <v>-84.40716110016976</v>
      </c>
      <c r="AJ24" s="29">
        <f t="shared" si="6"/>
        <v>-46.29958548760471</v>
      </c>
      <c r="AK24" s="33">
        <f t="shared" si="7"/>
        <v>128686.32757894736</v>
      </c>
      <c r="AL24" s="32">
        <f t="shared" si="8"/>
        <v>9.21522791792842</v>
      </c>
      <c r="AM24" s="68">
        <v>37.95</v>
      </c>
      <c r="AN24" s="29">
        <f t="shared" si="35"/>
        <v>349.71789948538355</v>
      </c>
      <c r="AO24" s="67">
        <f t="shared" si="0"/>
        <v>0.553675754186335</v>
      </c>
      <c r="AP24" s="31">
        <f t="shared" si="9"/>
        <v>666.6814794718289</v>
      </c>
      <c r="AQ24" s="31">
        <f t="shared" si="10"/>
        <v>682.9536187670791</v>
      </c>
      <c r="AR24" s="31">
        <f t="shared" si="11"/>
        <v>73.98071143317074</v>
      </c>
      <c r="AS24" s="31">
        <f t="shared" si="12"/>
        <v>134.55737520616327</v>
      </c>
      <c r="AT24" s="31">
        <f t="shared" si="13"/>
        <v>53.39439512154567</v>
      </c>
      <c r="AU24" s="30">
        <f t="shared" si="36"/>
        <v>681.559289817892</v>
      </c>
      <c r="AV24" s="30">
        <f t="shared" si="37"/>
        <v>-46.73419858086397</v>
      </c>
      <c r="AW24" s="30">
        <f t="shared" si="38"/>
        <v>-25.634957913364225</v>
      </c>
      <c r="AX24" s="30">
        <f t="shared" si="39"/>
        <v>193.63032175003062</v>
      </c>
      <c r="AY24" s="67">
        <f t="shared" si="1"/>
        <v>0.2584190028138687</v>
      </c>
      <c r="AZ24" s="31">
        <f t="shared" si="14"/>
        <v>311.16255645466504</v>
      </c>
      <c r="BA24" s="31">
        <f t="shared" si="15"/>
        <v>318.75730839843857</v>
      </c>
      <c r="BB24" s="31">
        <f t="shared" si="16"/>
        <v>34.5292737337141</v>
      </c>
      <c r="BC24" s="31">
        <f t="shared" si="17"/>
        <v>62.802429868232956</v>
      </c>
      <c r="BD24" s="31">
        <f t="shared" si="18"/>
        <v>24.920951005768412</v>
      </c>
      <c r="BE24" s="30">
        <f t="shared" si="40"/>
        <v>318.1065284177024</v>
      </c>
      <c r="BF24" s="30">
        <f t="shared" si="41"/>
        <v>-21.81241440185544</v>
      </c>
      <c r="BG24" s="30">
        <f t="shared" si="42"/>
        <v>-11.964692712402275</v>
      </c>
      <c r="BH24" s="30">
        <f t="shared" si="43"/>
        <v>90.37375085117358</v>
      </c>
    </row>
    <row r="25" spans="1:60" s="6" customFormat="1" ht="15">
      <c r="A25" s="71">
        <v>2036</v>
      </c>
      <c r="B25" s="200">
        <v>21</v>
      </c>
      <c r="C25" s="70">
        <f t="shared" si="19"/>
        <v>1833</v>
      </c>
      <c r="D25" s="102">
        <f>ROUNDDOWN('Permit Truck Totals'!H$16*C25,0)</f>
        <v>5268</v>
      </c>
      <c r="E25" s="116">
        <f>'Permit Truck Totals'!H$13*C25</f>
        <v>2166.0425936842103</v>
      </c>
      <c r="F25" s="117">
        <f>'Permit Truck Totals'!H$13*D25</f>
        <v>6225.156783157893</v>
      </c>
      <c r="G25" s="120">
        <f>'VMT Multipliers'!W$22</f>
        <v>0.5574940766550522</v>
      </c>
      <c r="H25" s="120">
        <f>'VMT Multipliers'!X$22</f>
        <v>0.27343108013937284</v>
      </c>
      <c r="I25" s="119">
        <f>'VMT Multipliers'!Y$22</f>
        <v>0.015675261324041814</v>
      </c>
      <c r="J25" s="119">
        <f>'VMT Multipliers'!Z$22</f>
        <v>0.061201672473867604</v>
      </c>
      <c r="K25" s="119">
        <f>'VMT Multipliers'!AA$22</f>
        <v>0.04143721254355401</v>
      </c>
      <c r="L25" s="118">
        <f>'VMT Multipliers'!W$20</f>
        <v>0.0013630662020905925</v>
      </c>
      <c r="M25" s="118">
        <f>'VMT Multipliers'!X$20</f>
        <v>0.10495609756097561</v>
      </c>
      <c r="N25" s="118">
        <f>'VMT Multipliers'!Y$20</f>
        <v>0.01622048780487805</v>
      </c>
      <c r="O25" s="118">
        <f>'VMT Multipliers'!Z$20</f>
        <v>0.01812878048780488</v>
      </c>
      <c r="P25" s="118">
        <f>'VMT Multipliers'!AA$20</f>
        <v>0.0012267595818815332</v>
      </c>
      <c r="Q25" s="26">
        <f t="shared" si="20"/>
        <v>1207.5559157614932</v>
      </c>
      <c r="R25" s="27">
        <f t="shared" si="21"/>
        <v>8.48530081383752</v>
      </c>
      <c r="S25" s="28">
        <f t="shared" si="22"/>
        <v>1216.0412165753307</v>
      </c>
      <c r="T25" s="26">
        <f t="shared" si="23"/>
        <v>592.2633660189623</v>
      </c>
      <c r="U25" s="27">
        <f t="shared" si="24"/>
        <v>653.368162665489</v>
      </c>
      <c r="V25" s="28">
        <f t="shared" si="25"/>
        <v>1245.6315286844513</v>
      </c>
      <c r="W25" s="26">
        <f t="shared" si="26"/>
        <v>33.95328369500532</v>
      </c>
      <c r="X25" s="27">
        <f t="shared" si="27"/>
        <v>100.97507968466647</v>
      </c>
      <c r="Y25" s="28">
        <f t="shared" si="28"/>
        <v>134.9283633796718</v>
      </c>
      <c r="Z25" s="26">
        <f t="shared" si="29"/>
        <v>132.56542938310773</v>
      </c>
      <c r="AA25" s="27">
        <f t="shared" si="30"/>
        <v>112.85450082403901</v>
      </c>
      <c r="AB25" s="28">
        <f t="shared" si="31"/>
        <v>245.41993020714673</v>
      </c>
      <c r="AC25" s="26">
        <f t="shared" si="32"/>
        <v>89.75476733288362</v>
      </c>
      <c r="AD25" s="27">
        <f t="shared" si="33"/>
        <v>7.636770732453767</v>
      </c>
      <c r="AE25" s="28">
        <f t="shared" si="34"/>
        <v>97.39153806533739</v>
      </c>
      <c r="AF25" s="20">
        <f t="shared" si="2"/>
        <v>349.36170865874357</v>
      </c>
      <c r="AG25" s="20">
        <f t="shared" si="3"/>
        <v>254.0880319656283</v>
      </c>
      <c r="AH25" s="29">
        <f t="shared" si="4"/>
        <v>1243.106465686206</v>
      </c>
      <c r="AI25" s="29">
        <f t="shared" si="5"/>
        <v>-85.24425691273343</v>
      </c>
      <c r="AJ25" s="29">
        <f t="shared" si="6"/>
        <v>-46.752197881675606</v>
      </c>
      <c r="AK25" s="33">
        <f t="shared" si="7"/>
        <v>129962.55562105261</v>
      </c>
      <c r="AL25" s="32">
        <f t="shared" si="8"/>
        <v>9.306618608023578</v>
      </c>
      <c r="AM25" s="68">
        <v>38.52</v>
      </c>
      <c r="AN25" s="29">
        <f t="shared" si="35"/>
        <v>358.49094878106825</v>
      </c>
      <c r="AO25" s="67">
        <f t="shared" si="0"/>
        <v>0.5375492759090631</v>
      </c>
      <c r="AP25" s="31">
        <f t="shared" si="9"/>
        <v>653.6820754456452</v>
      </c>
      <c r="AQ25" s="31">
        <f t="shared" si="10"/>
        <v>669.5883262938262</v>
      </c>
      <c r="AR25" s="31">
        <f t="shared" si="11"/>
        <v>72.53064403433751</v>
      </c>
      <c r="AS25" s="31">
        <f t="shared" si="12"/>
        <v>131.92530577650453</v>
      </c>
      <c r="AT25" s="31">
        <f t="shared" si="13"/>
        <v>52.35275076669207</v>
      </c>
      <c r="AU25" s="30">
        <f t="shared" si="36"/>
        <v>668.2309805074947</v>
      </c>
      <c r="AV25" s="30">
        <f t="shared" si="37"/>
        <v>-45.822988578846</v>
      </c>
      <c r="AW25" s="30">
        <f t="shared" si="38"/>
        <v>-25.131610118451956</v>
      </c>
      <c r="AX25" s="30">
        <f t="shared" si="39"/>
        <v>192.70654993721627</v>
      </c>
      <c r="AY25" s="67">
        <f t="shared" si="1"/>
        <v>0.24151308674193336</v>
      </c>
      <c r="AZ25" s="31">
        <f t="shared" si="14"/>
        <v>293.689867820524</v>
      </c>
      <c r="BA25" s="31">
        <f t="shared" si="15"/>
        <v>300.8363154356549</v>
      </c>
      <c r="BB25" s="31">
        <f t="shared" si="16"/>
        <v>32.58696552886178</v>
      </c>
      <c r="BC25" s="31">
        <f t="shared" si="17"/>
        <v>59.27212489231786</v>
      </c>
      <c r="BD25" s="31">
        <f t="shared" si="18"/>
        <v>23.521330980704132</v>
      </c>
      <c r="BE25" s="30">
        <f t="shared" si="40"/>
        <v>300.2264796767309</v>
      </c>
      <c r="BF25" s="30">
        <f t="shared" si="41"/>
        <v>-20.587603614016643</v>
      </c>
      <c r="BG25" s="30">
        <f t="shared" si="42"/>
        <v>-11.291267622373153</v>
      </c>
      <c r="BH25" s="30">
        <f t="shared" si="43"/>
        <v>86.58025560916013</v>
      </c>
    </row>
    <row r="26" spans="1:60" s="6" customFormat="1" ht="15">
      <c r="A26" s="72">
        <v>2037</v>
      </c>
      <c r="B26" s="15">
        <v>22</v>
      </c>
      <c r="C26" s="70">
        <f t="shared" si="19"/>
        <v>1852</v>
      </c>
      <c r="D26" s="102">
        <f>ROUNDDOWN('Permit Truck Totals'!H$16*C26,0)</f>
        <v>5323</v>
      </c>
      <c r="E26" s="116">
        <f>'Permit Truck Totals'!H$13*C26</f>
        <v>2188.49475368421</v>
      </c>
      <c r="F26" s="117">
        <f>'Permit Truck Totals'!H$13*D26</f>
        <v>6290.149877894735</v>
      </c>
      <c r="G26" s="120">
        <f>'VMT Multipliers'!W$22</f>
        <v>0.5574940766550522</v>
      </c>
      <c r="H26" s="120">
        <f>'VMT Multipliers'!X$22</f>
        <v>0.27343108013937284</v>
      </c>
      <c r="I26" s="119">
        <f>'VMT Multipliers'!Y$22</f>
        <v>0.015675261324041814</v>
      </c>
      <c r="J26" s="119">
        <f>'VMT Multipliers'!Z$22</f>
        <v>0.061201672473867604</v>
      </c>
      <c r="K26" s="119">
        <f>'VMT Multipliers'!AA$22</f>
        <v>0.04143721254355401</v>
      </c>
      <c r="L26" s="118">
        <f>'VMT Multipliers'!W$20</f>
        <v>0.0013630662020905925</v>
      </c>
      <c r="M26" s="118">
        <f>'VMT Multipliers'!X$20</f>
        <v>0.10495609756097561</v>
      </c>
      <c r="N26" s="118">
        <f>'VMT Multipliers'!Y$20</f>
        <v>0.01622048780487805</v>
      </c>
      <c r="O26" s="118">
        <f>'VMT Multipliers'!Z$20</f>
        <v>0.01812878048780488</v>
      </c>
      <c r="P26" s="118">
        <f>'VMT Multipliers'!AA$20</f>
        <v>0.0012267595818815332</v>
      </c>
      <c r="Q26" s="26">
        <f t="shared" si="20"/>
        <v>1220.0728619696047</v>
      </c>
      <c r="R26" s="27">
        <f t="shared" si="21"/>
        <v>8.573890704642581</v>
      </c>
      <c r="S26" s="28">
        <f t="shared" si="22"/>
        <v>1228.6467526742472</v>
      </c>
      <c r="T26" s="26">
        <f t="shared" si="23"/>
        <v>598.4024843792242</v>
      </c>
      <c r="U26" s="27">
        <f t="shared" si="24"/>
        <v>660.1895842574787</v>
      </c>
      <c r="V26" s="28">
        <f t="shared" si="25"/>
        <v>1258.592068636703</v>
      </c>
      <c r="W26" s="26">
        <f t="shared" si="26"/>
        <v>34.305227170294515</v>
      </c>
      <c r="X26" s="27">
        <f t="shared" si="27"/>
        <v>102.0292993852467</v>
      </c>
      <c r="Y26" s="28">
        <f t="shared" si="28"/>
        <v>136.33452655554123</v>
      </c>
      <c r="Z26" s="26">
        <f t="shared" si="29"/>
        <v>133.93953912575859</v>
      </c>
      <c r="AA26" s="27">
        <f t="shared" si="30"/>
        <v>114.03274637174633</v>
      </c>
      <c r="AB26" s="28">
        <f t="shared" si="31"/>
        <v>247.9722854975049</v>
      </c>
      <c r="AC26" s="26">
        <f t="shared" si="32"/>
        <v>90.68512225886549</v>
      </c>
      <c r="AD26" s="27">
        <f t="shared" si="33"/>
        <v>7.716501634178322</v>
      </c>
      <c r="AE26" s="28">
        <f t="shared" si="34"/>
        <v>98.40162389304382</v>
      </c>
      <c r="AF26" s="20">
        <f t="shared" si="2"/>
        <v>352.98302478777583</v>
      </c>
      <c r="AG26" s="20">
        <f t="shared" si="3"/>
        <v>256.74081134264225</v>
      </c>
      <c r="AH26" s="29">
        <f t="shared" si="4"/>
        <v>1256.0311024286611</v>
      </c>
      <c r="AI26" s="29">
        <f t="shared" si="5"/>
        <v>-86.1278580482173</v>
      </c>
      <c r="AJ26" s="29">
        <f t="shared" si="6"/>
        <v>-47.24030928704617</v>
      </c>
      <c r="AK26" s="33">
        <f t="shared" si="7"/>
        <v>131309.6852210526</v>
      </c>
      <c r="AL26" s="32">
        <f t="shared" si="8"/>
        <v>9.403086558679577</v>
      </c>
      <c r="AM26" s="68">
        <v>39.09</v>
      </c>
      <c r="AN26" s="29">
        <f t="shared" si="35"/>
        <v>367.5666535787847</v>
      </c>
      <c r="AO26" s="67">
        <f t="shared" si="0"/>
        <v>0.5218925008825855</v>
      </c>
      <c r="AP26" s="31">
        <f t="shared" si="9"/>
        <v>641.2215264544304</v>
      </c>
      <c r="AQ26" s="31">
        <f t="shared" si="10"/>
        <v>656.8497622917957</v>
      </c>
      <c r="AR26" s="31">
        <f t="shared" si="11"/>
        <v>71.15196702071468</v>
      </c>
      <c r="AS26" s="31">
        <f t="shared" si="12"/>
        <v>129.41487622786335</v>
      </c>
      <c r="AT26" s="31">
        <f t="shared" si="13"/>
        <v>51.35506958444822</v>
      </c>
      <c r="AU26" s="30">
        <f t="shared" si="36"/>
        <v>655.5132132328049</v>
      </c>
      <c r="AV26" s="30">
        <f t="shared" si="37"/>
        <v>-44.94948323244445</v>
      </c>
      <c r="AW26" s="30">
        <f t="shared" si="38"/>
        <v>-24.65436315628336</v>
      </c>
      <c r="AX26" s="30">
        <f t="shared" si="39"/>
        <v>191.83028007727492</v>
      </c>
      <c r="AY26" s="67">
        <f t="shared" si="1"/>
        <v>0.22571316517937698</v>
      </c>
      <c r="AZ26" s="31">
        <f t="shared" si="14"/>
        <v>277.32174743346746</v>
      </c>
      <c r="BA26" s="31">
        <f t="shared" si="15"/>
        <v>284.08079948164993</v>
      </c>
      <c r="BB26" s="31">
        <f t="shared" si="16"/>
        <v>30.772497512083035</v>
      </c>
      <c r="BC26" s="31">
        <f t="shared" si="17"/>
        <v>55.97060943640595</v>
      </c>
      <c r="BD26" s="31">
        <f t="shared" si="18"/>
        <v>22.210541987689528</v>
      </c>
      <c r="BE26" s="30">
        <f t="shared" si="40"/>
        <v>283.50275569291534</v>
      </c>
      <c r="BF26" s="30">
        <f t="shared" si="41"/>
        <v>-19.440191450183207</v>
      </c>
      <c r="BG26" s="30">
        <f t="shared" si="42"/>
        <v>-10.662759733231908</v>
      </c>
      <c r="BH26" s="30">
        <f t="shared" si="43"/>
        <v>82.96463279365908</v>
      </c>
    </row>
    <row r="27" spans="1:60" s="6" customFormat="1" ht="15">
      <c r="A27" s="71">
        <v>2038</v>
      </c>
      <c r="B27" s="15">
        <v>23</v>
      </c>
      <c r="C27" s="70">
        <f t="shared" si="19"/>
        <v>1870</v>
      </c>
      <c r="D27" s="102">
        <f>ROUNDDOWN('Permit Truck Totals'!H$16*C27,0)</f>
        <v>5375</v>
      </c>
      <c r="E27" s="116">
        <f>'Permit Truck Totals'!H$13*C27</f>
        <v>2209.765221052631</v>
      </c>
      <c r="F27" s="117">
        <f>'Permit Truck Totals'!H$13*D27</f>
        <v>6351.59789473684</v>
      </c>
      <c r="G27" s="120">
        <f>'VMT Multipliers'!W$22</f>
        <v>0.5574940766550522</v>
      </c>
      <c r="H27" s="120">
        <f>'VMT Multipliers'!X$22</f>
        <v>0.27343108013937284</v>
      </c>
      <c r="I27" s="119">
        <f>'VMT Multipliers'!Y$22</f>
        <v>0.015675261324041814</v>
      </c>
      <c r="J27" s="119">
        <f>'VMT Multipliers'!Z$22</f>
        <v>0.061201672473867604</v>
      </c>
      <c r="K27" s="119">
        <f>'VMT Multipliers'!AA$22</f>
        <v>0.04143721254355401</v>
      </c>
      <c r="L27" s="118">
        <f>'VMT Multipliers'!W$20</f>
        <v>0.0013630662020905925</v>
      </c>
      <c r="M27" s="118">
        <f>'VMT Multipliers'!X$20</f>
        <v>0.10495609756097561</v>
      </c>
      <c r="N27" s="118">
        <f>'VMT Multipliers'!Y$20</f>
        <v>0.01622048780487805</v>
      </c>
      <c r="O27" s="118">
        <f>'VMT Multipliers'!Z$20</f>
        <v>0.01812878048780488</v>
      </c>
      <c r="P27" s="118">
        <f>'VMT Multipliers'!AA$20</f>
        <v>0.0012267595818815332</v>
      </c>
      <c r="Q27" s="26">
        <f t="shared" si="20"/>
        <v>1231.931021535184</v>
      </c>
      <c r="R27" s="27">
        <f t="shared" si="21"/>
        <v>8.657648419585549</v>
      </c>
      <c r="S27" s="28">
        <f t="shared" si="22"/>
        <v>1240.5886699547696</v>
      </c>
      <c r="T27" s="26">
        <f t="shared" si="23"/>
        <v>604.2184912468409</v>
      </c>
      <c r="U27" s="27">
        <f t="shared" si="24"/>
        <v>666.6389283080871</v>
      </c>
      <c r="V27" s="28">
        <f t="shared" si="25"/>
        <v>1270.8574195549281</v>
      </c>
      <c r="W27" s="26">
        <f t="shared" si="26"/>
        <v>34.63864730477902</v>
      </c>
      <c r="X27" s="27">
        <f t="shared" si="27"/>
        <v>103.026016193068</v>
      </c>
      <c r="Y27" s="28">
        <f t="shared" si="28"/>
        <v>137.66466349784702</v>
      </c>
      <c r="Z27" s="26">
        <f t="shared" si="29"/>
        <v>135.24132730300678</v>
      </c>
      <c r="AA27" s="27">
        <f t="shared" si="30"/>
        <v>115.14672398048779</v>
      </c>
      <c r="AB27" s="28">
        <f t="shared" si="31"/>
        <v>250.38805128349458</v>
      </c>
      <c r="AC27" s="26">
        <f t="shared" si="32"/>
        <v>91.56651113611149</v>
      </c>
      <c r="AD27" s="27">
        <f t="shared" si="33"/>
        <v>7.791883577626993</v>
      </c>
      <c r="AE27" s="28">
        <f t="shared" si="34"/>
        <v>99.35839471373848</v>
      </c>
      <c r="AF27" s="20">
        <f t="shared" si="2"/>
        <v>356.41374533106955</v>
      </c>
      <c r="AG27" s="20">
        <f t="shared" si="3"/>
        <v>259.24889366272816</v>
      </c>
      <c r="AH27" s="29">
        <f t="shared" si="4"/>
        <v>1268.2650363272232</v>
      </c>
      <c r="AI27" s="29">
        <f t="shared" si="5"/>
        <v>-86.96495386078097</v>
      </c>
      <c r="AJ27" s="29">
        <f t="shared" si="6"/>
        <v>-47.70179643394198</v>
      </c>
      <c r="AK27" s="33">
        <f t="shared" si="7"/>
        <v>132585.91326315788</v>
      </c>
      <c r="AL27" s="32">
        <f t="shared" si="8"/>
        <v>9.494477248774736</v>
      </c>
      <c r="AM27" s="68">
        <v>39.66</v>
      </c>
      <c r="AN27" s="29">
        <f t="shared" si="35"/>
        <v>376.550967686406</v>
      </c>
      <c r="AO27" s="67">
        <f t="shared" si="0"/>
        <v>0.5066917484296947</v>
      </c>
      <c r="AP27" s="31">
        <f t="shared" si="9"/>
        <v>628.5960422614517</v>
      </c>
      <c r="AQ27" s="31">
        <f t="shared" si="10"/>
        <v>643.9329679191366</v>
      </c>
      <c r="AR27" s="31">
        <f t="shared" si="11"/>
        <v>69.75354904470967</v>
      </c>
      <c r="AS27" s="31">
        <f t="shared" si="12"/>
        <v>126.86955949073793</v>
      </c>
      <c r="AT27" s="31">
        <f t="shared" si="13"/>
        <v>50.34407873867188</v>
      </c>
      <c r="AU27" s="30">
        <f t="shared" si="36"/>
        <v>642.619428728891</v>
      </c>
      <c r="AV27" s="30">
        <f t="shared" si="37"/>
        <v>-44.06442452382683</v>
      </c>
      <c r="AW27" s="30">
        <f t="shared" si="38"/>
        <v>-24.170106638351434</v>
      </c>
      <c r="AX27" s="30">
        <f t="shared" si="39"/>
        <v>190.79526818991852</v>
      </c>
      <c r="AY27" s="67">
        <f t="shared" si="1"/>
        <v>0.2109468833452121</v>
      </c>
      <c r="AZ27" s="31">
        <f t="shared" si="14"/>
        <v>261.6983134403406</v>
      </c>
      <c r="BA27" s="31">
        <f t="shared" si="15"/>
        <v>268.0834118312507</v>
      </c>
      <c r="BB27" s="31">
        <f t="shared" si="16"/>
        <v>29.039931711638214</v>
      </c>
      <c r="BC27" s="31">
        <f t="shared" si="17"/>
        <v>52.81857904513432</v>
      </c>
      <c r="BD27" s="31">
        <f t="shared" si="18"/>
        <v>20.95934369904653</v>
      </c>
      <c r="BE27" s="30">
        <f t="shared" si="40"/>
        <v>267.53655666892996</v>
      </c>
      <c r="BF27" s="30">
        <f t="shared" si="41"/>
        <v>-18.344985977191914</v>
      </c>
      <c r="BG27" s="30">
        <f t="shared" si="42"/>
        <v>-10.062545287707813</v>
      </c>
      <c r="BH27" s="30">
        <f t="shared" si="43"/>
        <v>79.43225305407103</v>
      </c>
    </row>
    <row r="28" spans="1:60" s="6" customFormat="1" ht="15">
      <c r="A28" s="72">
        <v>2039</v>
      </c>
      <c r="B28" s="200">
        <v>24</v>
      </c>
      <c r="C28" s="70">
        <f t="shared" si="19"/>
        <v>1889</v>
      </c>
      <c r="D28" s="102">
        <f>ROUNDDOWN('Permit Truck Totals'!H$16*C28,0)</f>
        <v>5429</v>
      </c>
      <c r="E28" s="116">
        <f>'Permit Truck Totals'!H$13*C28</f>
        <v>2232.217381052631</v>
      </c>
      <c r="F28" s="117">
        <f>'Permit Truck Totals'!H$13*D28</f>
        <v>6415.409296842104</v>
      </c>
      <c r="G28" s="120">
        <f>'VMT Multipliers'!W$22</f>
        <v>0.5574940766550522</v>
      </c>
      <c r="H28" s="120">
        <f>'VMT Multipliers'!X$22</f>
        <v>0.27343108013937284</v>
      </c>
      <c r="I28" s="119">
        <f>'VMT Multipliers'!Y$22</f>
        <v>0.015675261324041814</v>
      </c>
      <c r="J28" s="119">
        <f>'VMT Multipliers'!Z$22</f>
        <v>0.061201672473867604</v>
      </c>
      <c r="K28" s="119">
        <f>'VMT Multipliers'!AA$22</f>
        <v>0.04143721254355401</v>
      </c>
      <c r="L28" s="118">
        <f>'VMT Multipliers'!W$20</f>
        <v>0.0013630662020905925</v>
      </c>
      <c r="M28" s="118">
        <f>'VMT Multipliers'!X$20</f>
        <v>0.10495609756097561</v>
      </c>
      <c r="N28" s="118">
        <f>'VMT Multipliers'!Y$20</f>
        <v>0.01622048780487805</v>
      </c>
      <c r="O28" s="118">
        <f>'VMT Multipliers'!Z$20</f>
        <v>0.01812878048780488</v>
      </c>
      <c r="P28" s="118">
        <f>'VMT Multipliers'!AA$20</f>
        <v>0.0012267595818815332</v>
      </c>
      <c r="Q28" s="26">
        <f t="shared" si="20"/>
        <v>1244.4479677432955</v>
      </c>
      <c r="R28" s="27">
        <f t="shared" si="21"/>
        <v>8.744627585103245</v>
      </c>
      <c r="S28" s="28">
        <f t="shared" si="22"/>
        <v>1253.1925953283987</v>
      </c>
      <c r="T28" s="26">
        <f t="shared" si="23"/>
        <v>610.3576096071029</v>
      </c>
      <c r="U28" s="27">
        <f t="shared" si="24"/>
        <v>673.3363240529497</v>
      </c>
      <c r="V28" s="28">
        <f t="shared" si="25"/>
        <v>1283.6939336600526</v>
      </c>
      <c r="W28" s="26">
        <f t="shared" si="26"/>
        <v>34.99059078006822</v>
      </c>
      <c r="X28" s="27">
        <f t="shared" si="27"/>
        <v>104.0610682627286</v>
      </c>
      <c r="Y28" s="28">
        <f t="shared" si="28"/>
        <v>139.0516590427968</v>
      </c>
      <c r="Z28" s="26">
        <f t="shared" si="29"/>
        <v>136.61543704565764</v>
      </c>
      <c r="AA28" s="27">
        <f t="shared" si="30"/>
        <v>116.30354688187316</v>
      </c>
      <c r="AB28" s="28">
        <f t="shared" si="31"/>
        <v>252.9189839275308</v>
      </c>
      <c r="AC28" s="26">
        <f t="shared" si="32"/>
        <v>92.49686606209336</v>
      </c>
      <c r="AD28" s="27">
        <f t="shared" si="33"/>
        <v>7.87016482659292</v>
      </c>
      <c r="AE28" s="28">
        <f t="shared" si="34"/>
        <v>100.36703088868629</v>
      </c>
      <c r="AF28" s="20">
        <f t="shared" si="2"/>
        <v>360.03506146010176</v>
      </c>
      <c r="AG28" s="20">
        <f t="shared" si="3"/>
        <v>261.8534406874328</v>
      </c>
      <c r="AH28" s="29">
        <f t="shared" si="4"/>
        <v>1281.0903144239214</v>
      </c>
      <c r="AI28" s="29">
        <f t="shared" si="5"/>
        <v>-87.84855499626482</v>
      </c>
      <c r="AJ28" s="29">
        <f t="shared" si="6"/>
        <v>-48.18103308648763</v>
      </c>
      <c r="AK28" s="33">
        <f t="shared" si="7"/>
        <v>133933.04286315787</v>
      </c>
      <c r="AL28" s="32">
        <f t="shared" si="8"/>
        <v>9.590945199430736</v>
      </c>
      <c r="AM28" s="68">
        <v>40.23</v>
      </c>
      <c r="AN28" s="29">
        <f t="shared" si="35"/>
        <v>385.8437253730985</v>
      </c>
      <c r="AO28" s="67">
        <f t="shared" si="0"/>
        <v>0.49193373633950943</v>
      </c>
      <c r="AP28" s="31">
        <f t="shared" si="9"/>
        <v>616.4877157729061</v>
      </c>
      <c r="AQ28" s="31">
        <f t="shared" si="10"/>
        <v>631.492353101752</v>
      </c>
      <c r="AR28" s="31">
        <f t="shared" si="11"/>
        <v>68.40420217713057</v>
      </c>
      <c r="AS28" s="31">
        <f t="shared" si="12"/>
        <v>124.41938075466255</v>
      </c>
      <c r="AT28" s="31">
        <f t="shared" si="13"/>
        <v>49.3739285103744</v>
      </c>
      <c r="AU28" s="30">
        <f t="shared" si="36"/>
        <v>630.2115449629166</v>
      </c>
      <c r="AV28" s="30">
        <f t="shared" si="37"/>
        <v>-43.215667891339436</v>
      </c>
      <c r="AW28" s="30">
        <f t="shared" si="38"/>
        <v>-23.701875626933386</v>
      </c>
      <c r="AX28" s="30">
        <f t="shared" si="39"/>
        <v>189.80954546594393</v>
      </c>
      <c r="AY28" s="67">
        <f t="shared" si="1"/>
        <v>0.19714661994879637</v>
      </c>
      <c r="AZ28" s="31">
        <f t="shared" si="14"/>
        <v>247.0626843138536</v>
      </c>
      <c r="BA28" s="31">
        <f t="shared" si="15"/>
        <v>253.07592006985382</v>
      </c>
      <c r="BB28" s="31">
        <f t="shared" si="16"/>
        <v>27.41356457855988</v>
      </c>
      <c r="BC28" s="31">
        <f t="shared" si="17"/>
        <v>49.86212280219665</v>
      </c>
      <c r="BD28" s="31">
        <f t="shared" si="18"/>
        <v>19.787020894000943</v>
      </c>
      <c r="BE28" s="30">
        <f t="shared" si="40"/>
        <v>252.56262533781688</v>
      </c>
      <c r="BF28" s="30">
        <f t="shared" si="41"/>
        <v>-17.319045684899557</v>
      </c>
      <c r="BG28" s="30">
        <f t="shared" si="42"/>
        <v>-9.49872781864216</v>
      </c>
      <c r="BH28" s="30">
        <f t="shared" si="43"/>
        <v>76.067786285758</v>
      </c>
    </row>
    <row r="29" spans="1:60" s="6" customFormat="1" ht="15">
      <c r="A29" s="71">
        <v>2040</v>
      </c>
      <c r="B29" s="15">
        <v>25</v>
      </c>
      <c r="C29" s="70">
        <f t="shared" si="19"/>
        <v>1908</v>
      </c>
      <c r="D29" s="102">
        <f>ROUNDDOWN('Permit Truck Totals'!H$16*C29,0)</f>
        <v>5484</v>
      </c>
      <c r="E29" s="116">
        <f>'Permit Truck Totals'!H$13*C29</f>
        <v>2254.6695410526313</v>
      </c>
      <c r="F29" s="117">
        <f>'Permit Truck Totals'!H$13*D29</f>
        <v>6480.402391578946</v>
      </c>
      <c r="G29" s="120">
        <f>'VMT Multipliers'!W$22</f>
        <v>0.5574940766550522</v>
      </c>
      <c r="H29" s="120">
        <f>'VMT Multipliers'!X$22</f>
        <v>0.27343108013937284</v>
      </c>
      <c r="I29" s="119">
        <f>'VMT Multipliers'!Y$22</f>
        <v>0.015675261324041814</v>
      </c>
      <c r="J29" s="119">
        <f>'VMT Multipliers'!Z$22</f>
        <v>0.061201672473867604</v>
      </c>
      <c r="K29" s="119">
        <f>'VMT Multipliers'!AA$22</f>
        <v>0.04143721254355401</v>
      </c>
      <c r="L29" s="118">
        <f>'VMT Multipliers'!W$20</f>
        <v>0.0013630662020905925</v>
      </c>
      <c r="M29" s="118">
        <f>'VMT Multipliers'!X$20</f>
        <v>0.10495609756097561</v>
      </c>
      <c r="N29" s="118">
        <f>'VMT Multipliers'!Y$20</f>
        <v>0.01622048780487805</v>
      </c>
      <c r="O29" s="118">
        <f>'VMT Multipliers'!Z$20</f>
        <v>0.01812878048780488</v>
      </c>
      <c r="P29" s="118">
        <f>'VMT Multipliers'!AA$20</f>
        <v>0.0012267595818815332</v>
      </c>
      <c r="Q29" s="26">
        <f t="shared" si="20"/>
        <v>1256.9649139514072</v>
      </c>
      <c r="R29" s="27">
        <f t="shared" si="21"/>
        <v>8.833217475908306</v>
      </c>
      <c r="S29" s="28">
        <f t="shared" si="22"/>
        <v>1265.7981314273154</v>
      </c>
      <c r="T29" s="26">
        <f t="shared" si="23"/>
        <v>616.496727967365</v>
      </c>
      <c r="U29" s="27">
        <f t="shared" si="24"/>
        <v>680.1577456449395</v>
      </c>
      <c r="V29" s="28">
        <f t="shared" si="25"/>
        <v>1296.6544736123046</v>
      </c>
      <c r="W29" s="26">
        <f t="shared" si="26"/>
        <v>35.342534255357414</v>
      </c>
      <c r="X29" s="27">
        <f t="shared" si="27"/>
        <v>105.11528796330883</v>
      </c>
      <c r="Y29" s="28">
        <f t="shared" si="28"/>
        <v>140.45782221866625</v>
      </c>
      <c r="Z29" s="26">
        <f t="shared" si="29"/>
        <v>137.98954678830853</v>
      </c>
      <c r="AA29" s="27">
        <f t="shared" si="30"/>
        <v>117.48179242958048</v>
      </c>
      <c r="AB29" s="28">
        <f t="shared" si="31"/>
        <v>255.471339217889</v>
      </c>
      <c r="AC29" s="26">
        <f t="shared" si="32"/>
        <v>93.42722098807525</v>
      </c>
      <c r="AD29" s="27">
        <f t="shared" si="33"/>
        <v>7.949895728317475</v>
      </c>
      <c r="AE29" s="28">
        <f t="shared" si="34"/>
        <v>101.37711671639272</v>
      </c>
      <c r="AF29" s="20">
        <f t="shared" si="2"/>
        <v>363.6563775891341</v>
      </c>
      <c r="AG29" s="20">
        <f t="shared" si="3"/>
        <v>264.5062200644468</v>
      </c>
      <c r="AH29" s="29">
        <f t="shared" si="4"/>
        <v>1294.0149511663767</v>
      </c>
      <c r="AI29" s="29">
        <f t="shared" si="5"/>
        <v>-88.73215613174871</v>
      </c>
      <c r="AJ29" s="29">
        <f t="shared" si="6"/>
        <v>-48.669144491858205</v>
      </c>
      <c r="AK29" s="33">
        <f t="shared" si="7"/>
        <v>135280.17246315788</v>
      </c>
      <c r="AL29" s="32">
        <f t="shared" si="8"/>
        <v>9.687413150086737</v>
      </c>
      <c r="AM29" s="68">
        <v>40.8</v>
      </c>
      <c r="AN29" s="29">
        <f t="shared" si="35"/>
        <v>395.2464565235388</v>
      </c>
      <c r="AO29" s="67">
        <f t="shared" si="0"/>
        <v>0.47760556926165965</v>
      </c>
      <c r="AP29" s="31">
        <f t="shared" si="9"/>
        <v>604.552237130688</v>
      </c>
      <c r="AQ29" s="31">
        <f t="shared" si="10"/>
        <v>619.2893980052824</v>
      </c>
      <c r="AR29" s="31">
        <f t="shared" si="11"/>
        <v>67.08343813799908</v>
      </c>
      <c r="AS29" s="31">
        <f t="shared" si="12"/>
        <v>122.01453439719843</v>
      </c>
      <c r="AT29" s="31">
        <f t="shared" si="13"/>
        <v>48.418275539438454</v>
      </c>
      <c r="AU29" s="30">
        <f t="shared" si="36"/>
        <v>618.0287473849161</v>
      </c>
      <c r="AV29" s="30">
        <f t="shared" si="37"/>
        <v>-42.37897194111831</v>
      </c>
      <c r="AW29" s="30">
        <f t="shared" si="38"/>
        <v>-23.244654460511907</v>
      </c>
      <c r="AX29" s="30">
        <f t="shared" si="39"/>
        <v>188.77190886657857</v>
      </c>
      <c r="AY29" s="67">
        <f t="shared" si="1"/>
        <v>0.18424917752223957</v>
      </c>
      <c r="AZ29" s="31">
        <f t="shared" si="14"/>
        <v>233.22226462467057</v>
      </c>
      <c r="BA29" s="31">
        <f t="shared" si="15"/>
        <v>238.90752029359962</v>
      </c>
      <c r="BB29" s="31">
        <f t="shared" si="16"/>
        <v>25.879238220354203</v>
      </c>
      <c r="BC29" s="31">
        <f t="shared" si="17"/>
        <v>47.07038413140112</v>
      </c>
      <c r="BD29" s="31">
        <f t="shared" si="18"/>
        <v>18.678650374571443</v>
      </c>
      <c r="BE29" s="30">
        <f t="shared" si="40"/>
        <v>238.4211904538859</v>
      </c>
      <c r="BF29" s="30">
        <f t="shared" si="41"/>
        <v>-16.348826787049646</v>
      </c>
      <c r="BG29" s="30">
        <f t="shared" si="42"/>
        <v>-8.96724984333591</v>
      </c>
      <c r="BH29" s="30">
        <f t="shared" si="43"/>
        <v>72.82383453304165</v>
      </c>
    </row>
    <row r="30" spans="1:60" s="6" customFormat="1" ht="15">
      <c r="A30" s="72">
        <v>2041</v>
      </c>
      <c r="B30" s="15">
        <v>26</v>
      </c>
      <c r="C30" s="70">
        <f t="shared" si="19"/>
        <v>1927</v>
      </c>
      <c r="D30" s="102">
        <f>ROUNDDOWN('Permit Truck Totals'!H$16*C30,0)</f>
        <v>5538</v>
      </c>
      <c r="E30" s="116">
        <f>'Permit Truck Totals'!H$13*C30</f>
        <v>2277.121701052631</v>
      </c>
      <c r="F30" s="117">
        <f>'Permit Truck Totals'!H$13*D30</f>
        <v>6544.213793684209</v>
      </c>
      <c r="G30" s="120">
        <f>'VMT Multipliers'!W$22</f>
        <v>0.5574940766550522</v>
      </c>
      <c r="H30" s="120">
        <f>'VMT Multipliers'!X$22</f>
        <v>0.27343108013937284</v>
      </c>
      <c r="I30" s="119">
        <f>'VMT Multipliers'!Y$22</f>
        <v>0.015675261324041814</v>
      </c>
      <c r="J30" s="119">
        <f>'VMT Multipliers'!Z$22</f>
        <v>0.061201672473867604</v>
      </c>
      <c r="K30" s="119">
        <f>'VMT Multipliers'!AA$22</f>
        <v>0.04143721254355401</v>
      </c>
      <c r="L30" s="118">
        <f>'VMT Multipliers'!W$20</f>
        <v>0.0013630662020905925</v>
      </c>
      <c r="M30" s="118">
        <f>'VMT Multipliers'!X$20</f>
        <v>0.10495609756097561</v>
      </c>
      <c r="N30" s="118">
        <f>'VMT Multipliers'!Y$20</f>
        <v>0.01622048780487805</v>
      </c>
      <c r="O30" s="118">
        <f>'VMT Multipliers'!Z$20</f>
        <v>0.01812878048780488</v>
      </c>
      <c r="P30" s="118">
        <f>'VMT Multipliers'!AA$20</f>
        <v>0.0012267595818815332</v>
      </c>
      <c r="Q30" s="26">
        <f t="shared" si="20"/>
        <v>1269.4818601595184</v>
      </c>
      <c r="R30" s="27">
        <f t="shared" si="21"/>
        <v>8.920196641426003</v>
      </c>
      <c r="S30" s="28">
        <f t="shared" si="22"/>
        <v>1278.4020568009444</v>
      </c>
      <c r="T30" s="26">
        <f t="shared" si="23"/>
        <v>622.635846327627</v>
      </c>
      <c r="U30" s="27">
        <f t="shared" si="24"/>
        <v>686.8551413898022</v>
      </c>
      <c r="V30" s="28">
        <f t="shared" si="25"/>
        <v>1309.490987717429</v>
      </c>
      <c r="W30" s="26">
        <f t="shared" si="26"/>
        <v>35.69447773064661</v>
      </c>
      <c r="X30" s="27">
        <f t="shared" si="27"/>
        <v>106.15034003296942</v>
      </c>
      <c r="Y30" s="28">
        <f t="shared" si="28"/>
        <v>141.84481776361605</v>
      </c>
      <c r="Z30" s="26">
        <f t="shared" si="29"/>
        <v>139.3636565309594</v>
      </c>
      <c r="AA30" s="27">
        <f t="shared" si="30"/>
        <v>118.63861533096585</v>
      </c>
      <c r="AB30" s="28">
        <f t="shared" si="31"/>
        <v>258.00227186192524</v>
      </c>
      <c r="AC30" s="26">
        <f t="shared" si="32"/>
        <v>94.35757591405712</v>
      </c>
      <c r="AD30" s="27">
        <f t="shared" si="33"/>
        <v>8.028176977283403</v>
      </c>
      <c r="AE30" s="28">
        <f t="shared" si="34"/>
        <v>102.38575289134053</v>
      </c>
      <c r="AF30" s="20">
        <f t="shared" si="2"/>
        <v>367.2776937181663</v>
      </c>
      <c r="AG30" s="20">
        <f t="shared" si="3"/>
        <v>267.1107670891514</v>
      </c>
      <c r="AH30" s="29">
        <f t="shared" si="4"/>
        <v>1306.8402292630744</v>
      </c>
      <c r="AI30" s="29">
        <f t="shared" si="5"/>
        <v>-89.61575726723257</v>
      </c>
      <c r="AJ30" s="29">
        <f t="shared" si="6"/>
        <v>-49.14838114440386</v>
      </c>
      <c r="AK30" s="33">
        <f t="shared" si="7"/>
        <v>136627.30206315787</v>
      </c>
      <c r="AL30" s="32">
        <f t="shared" si="8"/>
        <v>9.783881100742734</v>
      </c>
      <c r="AM30" s="68">
        <v>41.37</v>
      </c>
      <c r="AN30" s="29">
        <f t="shared" si="35"/>
        <v>404.7591611377269</v>
      </c>
      <c r="AO30" s="67">
        <f t="shared" si="0"/>
        <v>0.4636947274385045</v>
      </c>
      <c r="AP30" s="31">
        <f t="shared" si="9"/>
        <v>592.7882932851375</v>
      </c>
      <c r="AQ30" s="31">
        <f t="shared" si="10"/>
        <v>607.2040666328113</v>
      </c>
      <c r="AR30" s="31">
        <f t="shared" si="11"/>
        <v>65.77269411146429</v>
      </c>
      <c r="AS30" s="31">
        <f t="shared" si="12"/>
        <v>119.63429312953036</v>
      </c>
      <c r="AT30" s="31">
        <f t="shared" si="13"/>
        <v>47.47573378053622</v>
      </c>
      <c r="AU30" s="30">
        <f t="shared" si="36"/>
        <v>605.974923913814</v>
      </c>
      <c r="AV30" s="30">
        <f t="shared" si="37"/>
        <v>-41.55435414022458</v>
      </c>
      <c r="AW30" s="30">
        <f t="shared" si="38"/>
        <v>-22.78984519879808</v>
      </c>
      <c r="AX30" s="30">
        <f t="shared" si="39"/>
        <v>187.684688901996</v>
      </c>
      <c r="AY30" s="67">
        <f t="shared" si="1"/>
        <v>0.17219549301143888</v>
      </c>
      <c r="AZ30" s="31">
        <f t="shared" si="14"/>
        <v>220.13507243767611</v>
      </c>
      <c r="BA30" s="31">
        <f t="shared" si="15"/>
        <v>225.48844622403877</v>
      </c>
      <c r="BB30" s="31">
        <f t="shared" si="16"/>
        <v>24.42503832592357</v>
      </c>
      <c r="BC30" s="31">
        <f t="shared" si="17"/>
        <v>44.4268284013355</v>
      </c>
      <c r="BD30" s="31">
        <f t="shared" si="18"/>
        <v>17.630365196471736</v>
      </c>
      <c r="BE30" s="30">
        <f t="shared" si="40"/>
        <v>225.03199756513692</v>
      </c>
      <c r="BF30" s="30">
        <f t="shared" si="41"/>
        <v>-15.431429504224548</v>
      </c>
      <c r="BG30" s="30">
        <f t="shared" si="42"/>
        <v>-8.46312972187473</v>
      </c>
      <c r="BH30" s="30">
        <f t="shared" si="43"/>
        <v>69.69770330300732</v>
      </c>
    </row>
    <row r="31" spans="1:60" s="6" customFormat="1" ht="15">
      <c r="A31" s="71">
        <v>2042</v>
      </c>
      <c r="B31" s="200">
        <v>27</v>
      </c>
      <c r="C31" s="70">
        <f t="shared" si="19"/>
        <v>1946</v>
      </c>
      <c r="D31" s="102">
        <f>ROUNDDOWN('Permit Truck Totals'!H$16*C31,0)</f>
        <v>5593</v>
      </c>
      <c r="E31" s="116">
        <f>'Permit Truck Totals'!H$13*C31</f>
        <v>2299.573861052631</v>
      </c>
      <c r="F31" s="117">
        <f>'Permit Truck Totals'!H$13*D31</f>
        <v>6609.206888421051</v>
      </c>
      <c r="G31" s="120">
        <f>'VMT Multipliers'!W$22</f>
        <v>0.5574940766550522</v>
      </c>
      <c r="H31" s="120">
        <f>'VMT Multipliers'!X$22</f>
        <v>0.27343108013937284</v>
      </c>
      <c r="I31" s="119">
        <f>'VMT Multipliers'!Y$22</f>
        <v>0.015675261324041814</v>
      </c>
      <c r="J31" s="119">
        <f>'VMT Multipliers'!Z$22</f>
        <v>0.061201672473867604</v>
      </c>
      <c r="K31" s="119">
        <f>'VMT Multipliers'!AA$22</f>
        <v>0.04143721254355401</v>
      </c>
      <c r="L31" s="118">
        <f>'VMT Multipliers'!W$20</f>
        <v>0.0013630662020905925</v>
      </c>
      <c r="M31" s="118">
        <f>'VMT Multipliers'!X$20</f>
        <v>0.10495609756097561</v>
      </c>
      <c r="N31" s="118">
        <f>'VMT Multipliers'!Y$20</f>
        <v>0.01622048780487805</v>
      </c>
      <c r="O31" s="118">
        <f>'VMT Multipliers'!Z$20</f>
        <v>0.01812878048780488</v>
      </c>
      <c r="P31" s="118">
        <f>'VMT Multipliers'!AA$20</f>
        <v>0.0012267595818815332</v>
      </c>
      <c r="Q31" s="26">
        <f t="shared" si="20"/>
        <v>1281.9988063676299</v>
      </c>
      <c r="R31" s="27">
        <f t="shared" si="21"/>
        <v>9.008786532231065</v>
      </c>
      <c r="S31" s="28">
        <f t="shared" si="22"/>
        <v>1291.007592899861</v>
      </c>
      <c r="T31" s="26">
        <f t="shared" si="23"/>
        <v>628.774964687889</v>
      </c>
      <c r="U31" s="27">
        <f t="shared" si="24"/>
        <v>693.6765629817919</v>
      </c>
      <c r="V31" s="28">
        <f t="shared" si="25"/>
        <v>1322.451527669681</v>
      </c>
      <c r="W31" s="26">
        <f t="shared" si="26"/>
        <v>36.04642120593581</v>
      </c>
      <c r="X31" s="27">
        <f t="shared" si="27"/>
        <v>107.20455973354966</v>
      </c>
      <c r="Y31" s="28">
        <f t="shared" si="28"/>
        <v>143.25098093948546</v>
      </c>
      <c r="Z31" s="26">
        <f t="shared" si="29"/>
        <v>140.73776627361025</v>
      </c>
      <c r="AA31" s="27">
        <f t="shared" si="30"/>
        <v>119.81686087867315</v>
      </c>
      <c r="AB31" s="28">
        <f t="shared" si="31"/>
        <v>260.5546271522834</v>
      </c>
      <c r="AC31" s="26">
        <f t="shared" si="32"/>
        <v>95.287930840039</v>
      </c>
      <c r="AD31" s="27">
        <f t="shared" si="33"/>
        <v>8.107907879007957</v>
      </c>
      <c r="AE31" s="28">
        <f t="shared" si="34"/>
        <v>103.39583871904695</v>
      </c>
      <c r="AF31" s="20">
        <f t="shared" si="2"/>
        <v>370.89900984719856</v>
      </c>
      <c r="AG31" s="20">
        <f t="shared" si="3"/>
        <v>269.76354646616534</v>
      </c>
      <c r="AH31" s="29">
        <f t="shared" si="4"/>
        <v>1319.7648660055297</v>
      </c>
      <c r="AI31" s="29">
        <f t="shared" si="5"/>
        <v>-90.49935840271644</v>
      </c>
      <c r="AJ31" s="29">
        <f t="shared" si="6"/>
        <v>-49.636492549774424</v>
      </c>
      <c r="AK31" s="33">
        <f t="shared" si="7"/>
        <v>137974.43166315785</v>
      </c>
      <c r="AL31" s="32">
        <f t="shared" si="8"/>
        <v>9.880349051398733</v>
      </c>
      <c r="AM31" s="68">
        <v>41.94</v>
      </c>
      <c r="AN31" s="29">
        <f t="shared" si="35"/>
        <v>414.38183921566286</v>
      </c>
      <c r="AO31" s="67">
        <f t="shared" si="0"/>
        <v>0.45018905576553836</v>
      </c>
      <c r="AP31" s="31">
        <f t="shared" si="9"/>
        <v>581.197489233729</v>
      </c>
      <c r="AQ31" s="31">
        <f t="shared" si="10"/>
        <v>595.3532045373074</v>
      </c>
      <c r="AR31" s="31">
        <f t="shared" si="11"/>
        <v>64.49002384663409</v>
      </c>
      <c r="AS31" s="31">
        <f t="shared" si="12"/>
        <v>117.29884157302835</v>
      </c>
      <c r="AT31" s="31">
        <f t="shared" si="13"/>
        <v>46.54767500301364</v>
      </c>
      <c r="AU31" s="30">
        <f t="shared" si="36"/>
        <v>594.1436988595617</v>
      </c>
      <c r="AV31" s="30">
        <f t="shared" si="37"/>
        <v>-40.74182070670595</v>
      </c>
      <c r="AW31" s="30">
        <f t="shared" si="38"/>
        <v>-22.345805712496126</v>
      </c>
      <c r="AX31" s="30">
        <f t="shared" si="39"/>
        <v>186.5501689228864</v>
      </c>
      <c r="AY31" s="67">
        <f t="shared" si="1"/>
        <v>0.16093036730041013</v>
      </c>
      <c r="AZ31" s="31">
        <f t="shared" si="14"/>
        <v>207.76232611299298</v>
      </c>
      <c r="BA31" s="31">
        <f t="shared" si="15"/>
        <v>212.82261008487023</v>
      </c>
      <c r="BB31" s="31">
        <f t="shared" si="16"/>
        <v>23.053432978735447</v>
      </c>
      <c r="BC31" s="31">
        <f t="shared" si="17"/>
        <v>41.93115184943838</v>
      </c>
      <c r="BD31" s="31">
        <f t="shared" si="18"/>
        <v>16.63953030239019</v>
      </c>
      <c r="BE31" s="30">
        <f t="shared" si="40"/>
        <v>212.39024463644645</v>
      </c>
      <c r="BF31" s="30">
        <f t="shared" si="41"/>
        <v>-14.564094988200614</v>
      </c>
      <c r="BG31" s="30">
        <f t="shared" si="42"/>
        <v>-7.988018977539269</v>
      </c>
      <c r="BH31" s="30">
        <f t="shared" si="43"/>
        <v>66.68662158759612</v>
      </c>
    </row>
    <row r="32" spans="1:60" s="6" customFormat="1" ht="15">
      <c r="A32" s="72">
        <v>2043</v>
      </c>
      <c r="B32" s="15">
        <v>28</v>
      </c>
      <c r="C32" s="70">
        <f t="shared" si="19"/>
        <v>1966</v>
      </c>
      <c r="D32" s="102">
        <f>ROUNDDOWN('Permit Truck Totals'!H$16*C32,0)</f>
        <v>5651</v>
      </c>
      <c r="E32" s="116">
        <f>'Permit Truck Totals'!H$13*C32</f>
        <v>2323.20771368421</v>
      </c>
      <c r="F32" s="117">
        <f>'Permit Truck Totals'!H$13*D32</f>
        <v>6677.74506105263</v>
      </c>
      <c r="G32" s="120">
        <f>'VMT Multipliers'!W$22</f>
        <v>0.5574940766550522</v>
      </c>
      <c r="H32" s="120">
        <f>'VMT Multipliers'!X$22</f>
        <v>0.27343108013937284</v>
      </c>
      <c r="I32" s="119">
        <f>'VMT Multipliers'!Y$22</f>
        <v>0.015675261324041814</v>
      </c>
      <c r="J32" s="119">
        <f>'VMT Multipliers'!Z$22</f>
        <v>0.061201672473867604</v>
      </c>
      <c r="K32" s="119">
        <f>'VMT Multipliers'!AA$22</f>
        <v>0.04143721254355401</v>
      </c>
      <c r="L32" s="118">
        <f>'VMT Multipliers'!W$20</f>
        <v>0.0013630662020905925</v>
      </c>
      <c r="M32" s="118">
        <f>'VMT Multipliers'!X$20</f>
        <v>0.10495609756097561</v>
      </c>
      <c r="N32" s="118">
        <f>'VMT Multipliers'!Y$20</f>
        <v>0.01622048780487805</v>
      </c>
      <c r="O32" s="118">
        <f>'VMT Multipliers'!Z$20</f>
        <v>0.01812878048780488</v>
      </c>
      <c r="P32" s="118">
        <f>'VMT Multipliers'!AA$20</f>
        <v>0.0012267595818815332</v>
      </c>
      <c r="Q32" s="26">
        <f t="shared" si="20"/>
        <v>1295.1745392182736</v>
      </c>
      <c r="R32" s="27">
        <f t="shared" si="21"/>
        <v>9.10220859889822</v>
      </c>
      <c r="S32" s="28">
        <f t="shared" si="22"/>
        <v>1304.2767478171718</v>
      </c>
      <c r="T32" s="26">
        <f t="shared" si="23"/>
        <v>635.2371945407964</v>
      </c>
      <c r="U32" s="27">
        <f t="shared" si="24"/>
        <v>700.8700621151629</v>
      </c>
      <c r="V32" s="28">
        <f t="shared" si="25"/>
        <v>1336.1072566559592</v>
      </c>
      <c r="W32" s="26">
        <f t="shared" si="26"/>
        <v>36.4168880220297</v>
      </c>
      <c r="X32" s="27">
        <f t="shared" si="27"/>
        <v>108.31628232688881</v>
      </c>
      <c r="Y32" s="28">
        <f t="shared" si="28"/>
        <v>144.73317034891852</v>
      </c>
      <c r="Z32" s="26">
        <f t="shared" si="29"/>
        <v>142.1841975816638</v>
      </c>
      <c r="AA32" s="27">
        <f t="shared" si="30"/>
        <v>121.05937436534633</v>
      </c>
      <c r="AB32" s="28">
        <f t="shared" si="31"/>
        <v>263.24357194701014</v>
      </c>
      <c r="AC32" s="26">
        <f t="shared" si="32"/>
        <v>96.26725181475678</v>
      </c>
      <c r="AD32" s="27">
        <f t="shared" si="33"/>
        <v>8.191987739008399</v>
      </c>
      <c r="AE32" s="28">
        <f t="shared" si="34"/>
        <v>104.45923955376517</v>
      </c>
      <c r="AF32" s="20">
        <f t="shared" si="2"/>
        <v>374.7109215619693</v>
      </c>
      <c r="AG32" s="20">
        <f t="shared" si="3"/>
        <v>272.56102290010733</v>
      </c>
      <c r="AH32" s="29">
        <f t="shared" si="4"/>
        <v>1333.3802055918777</v>
      </c>
      <c r="AI32" s="29">
        <f t="shared" si="5"/>
        <v>-91.42946486112051</v>
      </c>
      <c r="AJ32" s="29">
        <f t="shared" si="6"/>
        <v>-50.151228213619746</v>
      </c>
      <c r="AK32" s="33">
        <f t="shared" si="7"/>
        <v>139392.46282105258</v>
      </c>
      <c r="AL32" s="32">
        <f t="shared" si="8"/>
        <v>9.981894262615576</v>
      </c>
      <c r="AM32" s="68">
        <v>42.51</v>
      </c>
      <c r="AN32" s="29">
        <f t="shared" si="35"/>
        <v>424.33032510378814</v>
      </c>
      <c r="AO32" s="67">
        <f t="shared" si="0"/>
        <v>0.4370767531704256</v>
      </c>
      <c r="AP32" s="31">
        <f t="shared" si="9"/>
        <v>570.0690461716114</v>
      </c>
      <c r="AQ32" s="31">
        <f t="shared" si="10"/>
        <v>583.9814216266311</v>
      </c>
      <c r="AR32" s="31">
        <f t="shared" si="11"/>
        <v>63.259504172167425</v>
      </c>
      <c r="AS32" s="31">
        <f t="shared" si="12"/>
        <v>115.05764571958453</v>
      </c>
      <c r="AT32" s="31">
        <f t="shared" si="13"/>
        <v>45.65670526281138</v>
      </c>
      <c r="AU32" s="30">
        <f t="shared" si="36"/>
        <v>582.7894910018125</v>
      </c>
      <c r="AV32" s="30">
        <f t="shared" si="37"/>
        <v>-39.96169364560807</v>
      </c>
      <c r="AW32" s="30">
        <f t="shared" si="38"/>
        <v>-21.919935995117964</v>
      </c>
      <c r="AX32" s="30">
        <f t="shared" si="39"/>
        <v>185.46492076811487</v>
      </c>
      <c r="AY32" s="67">
        <f t="shared" si="1"/>
        <v>0.15040221243028987</v>
      </c>
      <c r="AZ32" s="31">
        <f t="shared" si="14"/>
        <v>196.1661084930859</v>
      </c>
      <c r="BA32" s="31">
        <f t="shared" si="15"/>
        <v>200.9534874452214</v>
      </c>
      <c r="BB32" s="31">
        <f t="shared" si="16"/>
        <v>21.768189032527374</v>
      </c>
      <c r="BC32" s="31">
        <f t="shared" si="17"/>
        <v>39.59241562888251</v>
      </c>
      <c r="BD32" s="31">
        <f t="shared" si="18"/>
        <v>15.710900737671928</v>
      </c>
      <c r="BE32" s="30">
        <f t="shared" si="40"/>
        <v>200.54333293177316</v>
      </c>
      <c r="BF32" s="30">
        <f t="shared" si="41"/>
        <v>-13.75119379642997</v>
      </c>
      <c r="BG32" s="30">
        <f t="shared" si="42"/>
        <v>-7.542855679424783</v>
      </c>
      <c r="BH32" s="30">
        <f t="shared" si="43"/>
        <v>63.820219696873906</v>
      </c>
    </row>
    <row r="33" spans="1:60" s="6" customFormat="1" ht="15">
      <c r="A33" s="71">
        <v>2044</v>
      </c>
      <c r="B33" s="15">
        <v>29</v>
      </c>
      <c r="C33" s="70">
        <f t="shared" si="19"/>
        <v>1985</v>
      </c>
      <c r="D33" s="102">
        <f>ROUNDDOWN('Permit Truck Totals'!H$16*C33,0)</f>
        <v>5705</v>
      </c>
      <c r="E33" s="116">
        <f>'Permit Truck Totals'!H$13*C33</f>
        <v>2345.65987368421</v>
      </c>
      <c r="F33" s="117">
        <f>'Permit Truck Totals'!H$13*D33</f>
        <v>6741.556463157894</v>
      </c>
      <c r="G33" s="120">
        <f>'VMT Multipliers'!W$22</f>
        <v>0.5574940766550522</v>
      </c>
      <c r="H33" s="120">
        <f>'VMT Multipliers'!X$22</f>
        <v>0.27343108013937284</v>
      </c>
      <c r="I33" s="119">
        <f>'VMT Multipliers'!Y$22</f>
        <v>0.015675261324041814</v>
      </c>
      <c r="J33" s="119">
        <f>'VMT Multipliers'!Z$22</f>
        <v>0.061201672473867604</v>
      </c>
      <c r="K33" s="119">
        <f>'VMT Multipliers'!AA$22</f>
        <v>0.04143721254355401</v>
      </c>
      <c r="L33" s="118">
        <f>'VMT Multipliers'!W$20</f>
        <v>0.0013630662020905925</v>
      </c>
      <c r="M33" s="118">
        <f>'VMT Multipliers'!X$20</f>
        <v>0.10495609756097561</v>
      </c>
      <c r="N33" s="118">
        <f>'VMT Multipliers'!Y$20</f>
        <v>0.01622048780487805</v>
      </c>
      <c r="O33" s="118">
        <f>'VMT Multipliers'!Z$20</f>
        <v>0.01812878048780488</v>
      </c>
      <c r="P33" s="118">
        <f>'VMT Multipliers'!AA$20</f>
        <v>0.0012267595818815332</v>
      </c>
      <c r="Q33" s="26">
        <f t="shared" si="20"/>
        <v>1307.6914854263853</v>
      </c>
      <c r="R33" s="27">
        <f t="shared" si="21"/>
        <v>9.189187764415918</v>
      </c>
      <c r="S33" s="28">
        <f t="shared" si="22"/>
        <v>1316.8806731908012</v>
      </c>
      <c r="T33" s="26">
        <f t="shared" si="23"/>
        <v>641.3763129010584</v>
      </c>
      <c r="U33" s="27">
        <f t="shared" si="24"/>
        <v>707.5674578600256</v>
      </c>
      <c r="V33" s="28">
        <f t="shared" si="25"/>
        <v>1348.9437707610841</v>
      </c>
      <c r="W33" s="26">
        <f t="shared" si="26"/>
        <v>36.76883149731891</v>
      </c>
      <c r="X33" s="27">
        <f t="shared" si="27"/>
        <v>109.3513343965494</v>
      </c>
      <c r="Y33" s="28">
        <f t="shared" si="28"/>
        <v>146.12016589386832</v>
      </c>
      <c r="Z33" s="26">
        <f t="shared" si="29"/>
        <v>143.55830732431468</v>
      </c>
      <c r="AA33" s="27">
        <f t="shared" si="30"/>
        <v>122.2161972667317</v>
      </c>
      <c r="AB33" s="28">
        <f t="shared" si="31"/>
        <v>265.77450459104637</v>
      </c>
      <c r="AC33" s="26">
        <f t="shared" si="32"/>
        <v>97.19760674073866</v>
      </c>
      <c r="AD33" s="27">
        <f t="shared" si="33"/>
        <v>8.270268987974326</v>
      </c>
      <c r="AE33" s="28">
        <f t="shared" si="34"/>
        <v>105.46787572871298</v>
      </c>
      <c r="AF33" s="20">
        <f t="shared" si="2"/>
        <v>378.33223769100164</v>
      </c>
      <c r="AG33" s="20">
        <f t="shared" si="3"/>
        <v>275.16556992481196</v>
      </c>
      <c r="AH33" s="29">
        <f t="shared" si="4"/>
        <v>1346.2054836885761</v>
      </c>
      <c r="AI33" s="29">
        <f t="shared" si="5"/>
        <v>-92.3130659966044</v>
      </c>
      <c r="AJ33" s="29">
        <f t="shared" si="6"/>
        <v>-50.6304648661654</v>
      </c>
      <c r="AK33" s="33">
        <f t="shared" si="7"/>
        <v>140739.5924210526</v>
      </c>
      <c r="AL33" s="32">
        <f t="shared" si="8"/>
        <v>10.078362213271577</v>
      </c>
      <c r="AM33" s="68">
        <v>43.08</v>
      </c>
      <c r="AN33" s="29">
        <f t="shared" si="35"/>
        <v>434.1758441477395</v>
      </c>
      <c r="AO33" s="67">
        <f t="shared" si="0"/>
        <v>0.4243463623013841</v>
      </c>
      <c r="AP33" s="31">
        <f t="shared" si="9"/>
        <v>558.8135232535143</v>
      </c>
      <c r="AQ33" s="31">
        <f t="shared" si="10"/>
        <v>572.4193820715783</v>
      </c>
      <c r="AR33" s="31">
        <f t="shared" si="11"/>
        <v>62.005560855937794</v>
      </c>
      <c r="AS33" s="31">
        <f t="shared" si="12"/>
        <v>112.78044421566304</v>
      </c>
      <c r="AT33" s="31">
        <f t="shared" si="13"/>
        <v>44.754909405133795</v>
      </c>
      <c r="AU33" s="30">
        <f t="shared" si="36"/>
        <v>571.2573999134225</v>
      </c>
      <c r="AV33" s="30">
        <f t="shared" si="37"/>
        <v>-39.17271374854667</v>
      </c>
      <c r="AW33" s="30">
        <f t="shared" si="38"/>
        <v>-21.48485358758532</v>
      </c>
      <c r="AX33" s="30">
        <f t="shared" si="39"/>
        <v>184.24094006322596</v>
      </c>
      <c r="AY33" s="67">
        <f t="shared" si="1"/>
        <v>0.1405628153554111</v>
      </c>
      <c r="AZ33" s="31">
        <f t="shared" si="14"/>
        <v>185.10445491082805</v>
      </c>
      <c r="BA33" s="31">
        <f t="shared" si="15"/>
        <v>189.61133417432225</v>
      </c>
      <c r="BB33" s="31">
        <f t="shared" si="16"/>
        <v>20.53906189824185</v>
      </c>
      <c r="BC33" s="31">
        <f t="shared" si="17"/>
        <v>37.35801261500711</v>
      </c>
      <c r="BD33" s="31">
        <f t="shared" si="18"/>
        <v>14.824861541982527</v>
      </c>
      <c r="BE33" s="30">
        <f t="shared" si="40"/>
        <v>189.2264328341592</v>
      </c>
      <c r="BF33" s="30">
        <f t="shared" si="41"/>
        <v>-12.975784450572583</v>
      </c>
      <c r="BG33" s="30">
        <f t="shared" si="42"/>
        <v>-7.116760684341435</v>
      </c>
      <c r="BH33" s="30">
        <f t="shared" si="43"/>
        <v>61.02897901271845</v>
      </c>
    </row>
    <row r="34" spans="1:60" s="6" customFormat="1" ht="15">
      <c r="A34" s="72">
        <v>2045</v>
      </c>
      <c r="B34" s="200">
        <v>30</v>
      </c>
      <c r="C34" s="70">
        <f t="shared" si="19"/>
        <v>2005</v>
      </c>
      <c r="D34" s="102">
        <f>ROUNDDOWN('Permit Truck Totals'!H$16*C34,0)</f>
        <v>5763</v>
      </c>
      <c r="E34" s="116">
        <f>'Permit Truck Totals'!H$13*C34</f>
        <v>2369.293726315789</v>
      </c>
      <c r="F34" s="117">
        <f>'Permit Truck Totals'!H$13*D34</f>
        <v>6810.094635789472</v>
      </c>
      <c r="G34" s="120">
        <f>'VMT Multipliers'!W$22</f>
        <v>0.5574940766550522</v>
      </c>
      <c r="H34" s="120">
        <f>'VMT Multipliers'!X$22</f>
        <v>0.27343108013937284</v>
      </c>
      <c r="I34" s="119">
        <f>'VMT Multipliers'!Y$22</f>
        <v>0.015675261324041814</v>
      </c>
      <c r="J34" s="119">
        <f>'VMT Multipliers'!Z$22</f>
        <v>0.061201672473867604</v>
      </c>
      <c r="K34" s="119">
        <f>'VMT Multipliers'!AA$22</f>
        <v>0.04143721254355401</v>
      </c>
      <c r="L34" s="118">
        <f>'VMT Multipliers'!W$20</f>
        <v>0.0013630662020905925</v>
      </c>
      <c r="M34" s="118">
        <f>'VMT Multipliers'!X$20</f>
        <v>0.10495609756097561</v>
      </c>
      <c r="N34" s="118">
        <f>'VMT Multipliers'!Y$20</f>
        <v>0.01622048780487805</v>
      </c>
      <c r="O34" s="118">
        <f>'VMT Multipliers'!Z$20</f>
        <v>0.01812878048780488</v>
      </c>
      <c r="P34" s="118">
        <f>'VMT Multipliers'!AA$20</f>
        <v>0.0012267595818815332</v>
      </c>
      <c r="Q34" s="26">
        <f t="shared" si="20"/>
        <v>1320.867218277029</v>
      </c>
      <c r="R34" s="27">
        <f t="shared" si="21"/>
        <v>9.282609831083072</v>
      </c>
      <c r="S34" s="28">
        <f t="shared" si="22"/>
        <v>1330.1498281081122</v>
      </c>
      <c r="T34" s="26">
        <f t="shared" si="23"/>
        <v>647.8385427539658</v>
      </c>
      <c r="U34" s="27">
        <f t="shared" si="24"/>
        <v>714.7609569933965</v>
      </c>
      <c r="V34" s="28">
        <f t="shared" si="25"/>
        <v>1362.5994997473622</v>
      </c>
      <c r="W34" s="26">
        <f t="shared" si="26"/>
        <v>37.1392983134128</v>
      </c>
      <c r="X34" s="27">
        <f t="shared" si="27"/>
        <v>110.46305698988854</v>
      </c>
      <c r="Y34" s="28">
        <f t="shared" si="28"/>
        <v>147.60235530330135</v>
      </c>
      <c r="Z34" s="26">
        <f t="shared" si="29"/>
        <v>145.00473863236823</v>
      </c>
      <c r="AA34" s="27">
        <f t="shared" si="30"/>
        <v>123.45871075340486</v>
      </c>
      <c r="AB34" s="28">
        <f t="shared" si="31"/>
        <v>268.46344938577306</v>
      </c>
      <c r="AC34" s="26">
        <f t="shared" si="32"/>
        <v>98.17692771545644</v>
      </c>
      <c r="AD34" s="27">
        <f t="shared" si="33"/>
        <v>8.354348847974764</v>
      </c>
      <c r="AE34" s="28">
        <f t="shared" si="34"/>
        <v>106.5312765634312</v>
      </c>
      <c r="AF34" s="20">
        <f t="shared" si="2"/>
        <v>382.14414940577245</v>
      </c>
      <c r="AG34" s="20">
        <f t="shared" si="3"/>
        <v>277.96304635875396</v>
      </c>
      <c r="AH34" s="29">
        <f t="shared" si="4"/>
        <v>1359.8208232749244</v>
      </c>
      <c r="AI34" s="29">
        <f t="shared" si="5"/>
        <v>-93.24317245500848</v>
      </c>
      <c r="AJ34" s="29">
        <f t="shared" si="6"/>
        <v>-51.145200530010726</v>
      </c>
      <c r="AK34" s="33">
        <f t="shared" si="7"/>
        <v>142157.62357894736</v>
      </c>
      <c r="AL34" s="32">
        <f t="shared" si="8"/>
        <v>10.17990742448842</v>
      </c>
      <c r="AM34" s="68">
        <v>43.65</v>
      </c>
      <c r="AN34" s="29">
        <f t="shared" si="35"/>
        <v>444.3529590789195</v>
      </c>
      <c r="AO34" s="67">
        <f t="shared" si="0"/>
        <v>0.4119867595159069</v>
      </c>
      <c r="AP34" s="31">
        <f t="shared" si="9"/>
        <v>548.0041173529017</v>
      </c>
      <c r="AQ34" s="31">
        <f t="shared" si="10"/>
        <v>561.3729524189116</v>
      </c>
      <c r="AR34" s="31">
        <f t="shared" si="11"/>
        <v>60.81021605832266</v>
      </c>
      <c r="AS34" s="31">
        <f t="shared" si="12"/>
        <v>110.60338656090734</v>
      </c>
      <c r="AT34" s="31">
        <f t="shared" si="13"/>
        <v>43.889475418460904</v>
      </c>
      <c r="AU34" s="30">
        <f t="shared" si="36"/>
        <v>560.2281745032888</v>
      </c>
      <c r="AV34" s="30">
        <f t="shared" si="37"/>
        <v>-38.414952466721815</v>
      </c>
      <c r="AW34" s="30">
        <f t="shared" si="38"/>
        <v>-21.071145431150363</v>
      </c>
      <c r="AX34" s="30">
        <f t="shared" si="39"/>
        <v>183.06753569222843</v>
      </c>
      <c r="AY34" s="67">
        <f t="shared" si="1"/>
        <v>0.13136711715458982</v>
      </c>
      <c r="AZ34" s="31">
        <f t="shared" si="14"/>
        <v>174.73794830223588</v>
      </c>
      <c r="BA34" s="31">
        <f t="shared" si="15"/>
        <v>179.0007681180972</v>
      </c>
      <c r="BB34" s="31">
        <f t="shared" si="16"/>
        <v>19.390095901422182</v>
      </c>
      <c r="BC34" s="31">
        <f t="shared" si="17"/>
        <v>35.26726940718614</v>
      </c>
      <c r="BD34" s="31">
        <f t="shared" si="18"/>
        <v>13.994706688936276</v>
      </c>
      <c r="BE34" s="30">
        <f t="shared" si="40"/>
        <v>178.63574140040777</v>
      </c>
      <c r="BF34" s="30">
        <f t="shared" si="41"/>
        <v>-12.24908675976272</v>
      </c>
      <c r="BG34" s="30">
        <f t="shared" si="42"/>
        <v>-6.718797549920908</v>
      </c>
      <c r="BH34" s="30">
        <f t="shared" si="43"/>
        <v>58.373367233309075</v>
      </c>
    </row>
    <row r="35" spans="17:60" s="53" customFormat="1" ht="15.75" thickBot="1">
      <c r="Q35" s="54">
        <f aca="true" t="shared" si="44" ref="Q35:AE35">SUM(Q10:Q34)</f>
        <v>29381.225470292866</v>
      </c>
      <c r="R35" s="54">
        <f t="shared" si="44"/>
        <v>206.46759951027616</v>
      </c>
      <c r="S35" s="54">
        <f t="shared" si="44"/>
        <v>29587.693069803143</v>
      </c>
      <c r="T35" s="54">
        <f t="shared" si="44"/>
        <v>14410.449460490832</v>
      </c>
      <c r="U35" s="54">
        <f t="shared" si="44"/>
        <v>15898.005162291262</v>
      </c>
      <c r="V35" s="54">
        <f t="shared" si="44"/>
        <v>30308.45462278209</v>
      </c>
      <c r="W35" s="54">
        <f t="shared" si="44"/>
        <v>826.1224765485775</v>
      </c>
      <c r="X35" s="54">
        <f t="shared" si="44"/>
        <v>2456.964434172286</v>
      </c>
      <c r="Y35" s="54">
        <f t="shared" si="44"/>
        <v>3283.086910720863</v>
      </c>
      <c r="Z35" s="54">
        <f t="shared" si="44"/>
        <v>3225.46949539401</v>
      </c>
      <c r="AA35" s="54">
        <f t="shared" si="44"/>
        <v>2746.019073486673</v>
      </c>
      <c r="AB35" s="54">
        <f t="shared" si="44"/>
        <v>5971.488568880683</v>
      </c>
      <c r="AC35" s="54">
        <f t="shared" si="44"/>
        <v>2183.836807571891</v>
      </c>
      <c r="AD35" s="54">
        <f t="shared" si="44"/>
        <v>185.82083955924855</v>
      </c>
      <c r="AE35" s="54">
        <f t="shared" si="44"/>
        <v>2369.6576471311396</v>
      </c>
      <c r="AF35" s="55"/>
      <c r="AG35" s="55"/>
      <c r="AH35" s="56">
        <f>SUM(AH10:AH34)</f>
        <v>30246.856697509076</v>
      </c>
      <c r="AI35" s="56">
        <f>SUM(AI10:AI34)</f>
        <v>-2074.0908969181655</v>
      </c>
      <c r="AJ35" s="56">
        <f>SUM(AJ10:AJ34)</f>
        <v>-1137.5924413566484</v>
      </c>
      <c r="AK35" s="56"/>
      <c r="AL35" s="56"/>
      <c r="AM35" s="56"/>
      <c r="AN35" s="56">
        <f>SUM(AN10:AN34)</f>
        <v>8402.011623696082</v>
      </c>
      <c r="AO35" s="57"/>
      <c r="AP35" s="58">
        <f aca="true" t="shared" si="45" ref="AP35:AX35">SUM(AP10:AP34)</f>
        <v>17508.76188698139</v>
      </c>
      <c r="AQ35" s="58">
        <f t="shared" si="45"/>
        <v>17935.241935765614</v>
      </c>
      <c r="AR35" s="58">
        <f t="shared" si="45"/>
        <v>1942.7881384405416</v>
      </c>
      <c r="AS35" s="58">
        <f t="shared" si="45"/>
        <v>3533.6714067217767</v>
      </c>
      <c r="AT35" s="58">
        <f t="shared" si="45"/>
        <v>1402.2641010494071</v>
      </c>
      <c r="AU35" s="58">
        <f t="shared" si="45"/>
        <v>17898.798222114146</v>
      </c>
      <c r="AV35" s="58">
        <f t="shared" si="45"/>
        <v>-1227.360462283942</v>
      </c>
      <c r="AW35" s="58">
        <f t="shared" si="45"/>
        <v>-673.1770956468471</v>
      </c>
      <c r="AX35" s="58">
        <f t="shared" si="45"/>
        <v>4854.909891709567</v>
      </c>
      <c r="AY35" s="59"/>
      <c r="AZ35" s="58">
        <f aca="true" t="shared" si="46" ref="AZ35:BH35">SUM(AZ10:AZ34)</f>
        <v>9507.260599916717</v>
      </c>
      <c r="BA35" s="58">
        <f t="shared" si="46"/>
        <v>9738.81214099458</v>
      </c>
      <c r="BB35" s="58">
        <f t="shared" si="46"/>
        <v>1054.9300604796802</v>
      </c>
      <c r="BC35" s="58">
        <f t="shared" si="46"/>
        <v>1918.7794696144695</v>
      </c>
      <c r="BD35" s="58">
        <f t="shared" si="46"/>
        <v>761.4293452592309</v>
      </c>
      <c r="BE35" s="58">
        <f t="shared" si="46"/>
        <v>9719.028679571467</v>
      </c>
      <c r="BF35" s="58">
        <f t="shared" si="46"/>
        <v>-666.4569590717351</v>
      </c>
      <c r="BG35" s="58">
        <f t="shared" si="46"/>
        <v>-365.53331575578966</v>
      </c>
      <c r="BH35" s="58">
        <f t="shared" si="46"/>
        <v>2557.999353664771</v>
      </c>
    </row>
    <row r="38" spans="30:37" ht="15">
      <c r="AD38" s="122" t="s">
        <v>102</v>
      </c>
      <c r="AE38" s="122">
        <v>6.2</v>
      </c>
      <c r="AG38" s="122" t="s">
        <v>105</v>
      </c>
      <c r="AH38" s="122">
        <v>0.244</v>
      </c>
      <c r="AJ38" s="122" t="s">
        <v>107</v>
      </c>
      <c r="AK38" s="122">
        <v>60</v>
      </c>
    </row>
    <row r="39" spans="30:37" ht="30">
      <c r="AD39" s="122" t="s">
        <v>103</v>
      </c>
      <c r="AE39" s="122">
        <v>24.5</v>
      </c>
      <c r="AG39" s="122" t="s">
        <v>106</v>
      </c>
      <c r="AH39" s="122">
        <v>0.184</v>
      </c>
      <c r="AJ39" s="123" t="s">
        <v>108</v>
      </c>
      <c r="AK39" s="122">
        <v>71.61</v>
      </c>
    </row>
    <row r="40" spans="30:36" ht="15">
      <c r="AD40" s="122" t="s">
        <v>104</v>
      </c>
      <c r="AE40" s="279">
        <f>'Monetary Assumptions'!E25</f>
        <v>2.06</v>
      </c>
      <c r="AJ40" s="121"/>
    </row>
  </sheetData>
  <sheetProtection/>
  <mergeCells count="43">
    <mergeCell ref="BC2:BC3"/>
    <mergeCell ref="BH2:BH3"/>
    <mergeCell ref="AP1:AX1"/>
    <mergeCell ref="AZ1:BH1"/>
    <mergeCell ref="E1:AN1"/>
    <mergeCell ref="B2:B3"/>
    <mergeCell ref="BE2:BE3"/>
    <mergeCell ref="AI2:AI3"/>
    <mergeCell ref="AJ2:AJ3"/>
    <mergeCell ref="AV2:AV3"/>
    <mergeCell ref="AK2:AK3"/>
    <mergeCell ref="AL2:AL3"/>
    <mergeCell ref="AZ2:AZ3"/>
    <mergeCell ref="BA2:BA3"/>
    <mergeCell ref="BB2:BB3"/>
    <mergeCell ref="AW2:AW3"/>
    <mergeCell ref="AN2:AN3"/>
    <mergeCell ref="BD2:BD3"/>
    <mergeCell ref="BF2:BF3"/>
    <mergeCell ref="AY1:AY3"/>
    <mergeCell ref="AP2:AP3"/>
    <mergeCell ref="AQ2:AQ3"/>
    <mergeCell ref="AR2:AR3"/>
    <mergeCell ref="AS2:AS3"/>
    <mergeCell ref="AT2:AT3"/>
    <mergeCell ref="AU2:AU3"/>
    <mergeCell ref="AX2:AX3"/>
    <mergeCell ref="BG2:BG3"/>
    <mergeCell ref="C2:D2"/>
    <mergeCell ref="E2:F2"/>
    <mergeCell ref="Q2:S2"/>
    <mergeCell ref="T2:V2"/>
    <mergeCell ref="AO1:AO3"/>
    <mergeCell ref="AF2:AF3"/>
    <mergeCell ref="AG2:AG3"/>
    <mergeCell ref="AH2:AH3"/>
    <mergeCell ref="AM2:AM3"/>
    <mergeCell ref="A2:A3"/>
    <mergeCell ref="W2:Y2"/>
    <mergeCell ref="Z2:AB2"/>
    <mergeCell ref="AC2:AE2"/>
    <mergeCell ref="G2:K2"/>
    <mergeCell ref="L2:P2"/>
  </mergeCells>
  <printOptions/>
  <pageMargins left="0.7" right="0.7" top="0.75" bottom="0.75" header="0.3" footer="0.3"/>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dimension ref="A1:BN42"/>
  <sheetViews>
    <sheetView zoomScalePageLayoutView="0" workbookViewId="0" topLeftCell="A16">
      <selection activeCell="O39" sqref="O39"/>
    </sheetView>
  </sheetViews>
  <sheetFormatPr defaultColWidth="9.140625" defaultRowHeight="15"/>
  <cols>
    <col min="5" max="5" width="12.421875" style="0" customWidth="1"/>
    <col min="6" max="6" width="11.7109375" style="0" customWidth="1"/>
    <col min="7" max="7" width="10.00390625" style="0" customWidth="1"/>
    <col min="8" max="8" width="11.00390625" style="0" customWidth="1"/>
    <col min="9" max="11" width="9.140625" style="0" customWidth="1"/>
    <col min="12" max="12" width="10.00390625" style="0" customWidth="1"/>
    <col min="13" max="13" width="11.00390625" style="0" customWidth="1"/>
    <col min="14" max="16" width="9.140625" style="0" customWidth="1"/>
    <col min="17" max="17" width="14.8515625" style="0" customWidth="1"/>
    <col min="18" max="18" width="12.28125" style="0" customWidth="1"/>
    <col min="19" max="19" width="15.28125" style="0" customWidth="1"/>
    <col min="20" max="20" width="15.140625" style="0" customWidth="1"/>
    <col min="21" max="21" width="16.140625" style="0" customWidth="1"/>
    <col min="22" max="22" width="18.140625" style="0" customWidth="1"/>
    <col min="23" max="23" width="14.8515625" style="0" customWidth="1"/>
    <col min="24" max="24" width="16.28125" style="0" customWidth="1"/>
    <col min="25" max="25" width="17.7109375" style="0" customWidth="1"/>
    <col min="26" max="26" width="15.421875" style="0" customWidth="1"/>
    <col min="27" max="27" width="15.57421875" style="0" customWidth="1"/>
    <col min="28" max="28" width="15.28125" style="0" customWidth="1"/>
    <col min="29" max="29" width="14.8515625" style="0" customWidth="1"/>
    <col min="30" max="30" width="13.00390625" style="0" customWidth="1"/>
    <col min="31" max="31" width="14.421875" style="0" customWidth="1"/>
    <col min="32" max="33" width="16.140625" style="0" customWidth="1"/>
    <col min="34" max="34" width="15.8515625" style="0" customWidth="1"/>
    <col min="35" max="35" width="15.28125" style="0" customWidth="1"/>
    <col min="36" max="36" width="15.00390625" style="0" customWidth="1"/>
    <col min="37" max="38" width="15.7109375" style="0" customWidth="1"/>
    <col min="39" max="39" width="13.00390625" style="0" customWidth="1"/>
    <col min="40" max="40" width="14.8515625" style="0" customWidth="1"/>
    <col min="42" max="42" width="15.140625" style="0" customWidth="1"/>
    <col min="43" max="43" width="15.421875" style="0" customWidth="1"/>
    <col min="44" max="44" width="14.28125" style="0" customWidth="1"/>
    <col min="45" max="45" width="15.28125" style="0" customWidth="1"/>
    <col min="46" max="46" width="15.421875" style="0" customWidth="1"/>
    <col min="47" max="47" width="14.8515625" style="0" customWidth="1"/>
    <col min="48" max="48" width="15.7109375" style="0" customWidth="1"/>
    <col min="49" max="49" width="13.140625" style="0" customWidth="1"/>
    <col min="50" max="50" width="14.140625" style="0" customWidth="1"/>
    <col min="52" max="52" width="14.140625" style="0" customWidth="1"/>
    <col min="53" max="53" width="16.28125" style="0" customWidth="1"/>
    <col min="54" max="54" width="15.57421875" style="0" customWidth="1"/>
    <col min="55" max="55" width="13.8515625" style="0" customWidth="1"/>
    <col min="56" max="56" width="15.00390625" style="0" customWidth="1"/>
    <col min="57" max="57" width="16.00390625" style="0" customWidth="1"/>
    <col min="58" max="58" width="15.421875" style="0" customWidth="1"/>
    <col min="59" max="59" width="13.28125" style="0" customWidth="1"/>
    <col min="60" max="60" width="13.8515625" style="0" customWidth="1"/>
    <col min="61" max="61" width="14.28125" style="0" bestFit="1" customWidth="1"/>
    <col min="62" max="63" width="19.00390625" style="0" customWidth="1"/>
    <col min="64" max="64" width="17.00390625" style="0" customWidth="1"/>
    <col min="65" max="66" width="19.00390625" style="0" customWidth="1"/>
  </cols>
  <sheetData>
    <row r="1" spans="5:66" ht="15.75" customHeight="1" thickBot="1">
      <c r="E1" s="339" t="s">
        <v>113</v>
      </c>
      <c r="F1" s="340"/>
      <c r="G1" s="341"/>
      <c r="H1" s="341"/>
      <c r="I1" s="341"/>
      <c r="J1" s="341"/>
      <c r="K1" s="341"/>
      <c r="L1" s="341"/>
      <c r="M1" s="341"/>
      <c r="N1" s="341"/>
      <c r="O1" s="341"/>
      <c r="P1" s="341"/>
      <c r="Q1" s="341"/>
      <c r="R1" s="341"/>
      <c r="S1" s="341"/>
      <c r="T1" s="341"/>
      <c r="U1" s="341"/>
      <c r="V1" s="341"/>
      <c r="W1" s="341"/>
      <c r="X1" s="341"/>
      <c r="Y1" s="341"/>
      <c r="Z1" s="341"/>
      <c r="AA1" s="341"/>
      <c r="AB1" s="341"/>
      <c r="AC1" s="341"/>
      <c r="AD1" s="341"/>
      <c r="AE1" s="341"/>
      <c r="AF1" s="341"/>
      <c r="AG1" s="341"/>
      <c r="AH1" s="341"/>
      <c r="AI1" s="341"/>
      <c r="AJ1" s="341"/>
      <c r="AK1" s="341"/>
      <c r="AL1" s="341"/>
      <c r="AM1" s="341"/>
      <c r="AN1" s="342"/>
      <c r="AO1" s="333" t="s">
        <v>50</v>
      </c>
      <c r="AP1" s="336" t="s">
        <v>51</v>
      </c>
      <c r="AQ1" s="337"/>
      <c r="AR1" s="337"/>
      <c r="AS1" s="337"/>
      <c r="AT1" s="337"/>
      <c r="AU1" s="337"/>
      <c r="AV1" s="337"/>
      <c r="AW1" s="337"/>
      <c r="AX1" s="338"/>
      <c r="AY1" s="333" t="s">
        <v>52</v>
      </c>
      <c r="AZ1" s="336" t="s">
        <v>53</v>
      </c>
      <c r="BA1" s="337"/>
      <c r="BB1" s="337"/>
      <c r="BC1" s="337"/>
      <c r="BD1" s="337"/>
      <c r="BE1" s="337"/>
      <c r="BF1" s="337"/>
      <c r="BG1" s="337"/>
      <c r="BH1" s="338"/>
      <c r="BI1" s="354" t="s">
        <v>96</v>
      </c>
      <c r="BJ1" s="355"/>
      <c r="BK1" s="356"/>
      <c r="BL1" s="353" t="s">
        <v>95</v>
      </c>
      <c r="BM1" s="341"/>
      <c r="BN1" s="342"/>
    </row>
    <row r="2" spans="1:66" ht="15" customHeight="1">
      <c r="A2" s="322" t="s">
        <v>81</v>
      </c>
      <c r="B2" s="343" t="s">
        <v>82</v>
      </c>
      <c r="C2" s="332" t="s">
        <v>39</v>
      </c>
      <c r="D2" s="331"/>
      <c r="E2" s="332" t="s">
        <v>40</v>
      </c>
      <c r="F2" s="331"/>
      <c r="G2" s="345" t="s">
        <v>36</v>
      </c>
      <c r="H2" s="346"/>
      <c r="I2" s="346"/>
      <c r="J2" s="346"/>
      <c r="K2" s="346"/>
      <c r="L2" s="346" t="s">
        <v>38</v>
      </c>
      <c r="M2" s="346"/>
      <c r="N2" s="346"/>
      <c r="O2" s="346"/>
      <c r="P2" s="347"/>
      <c r="Q2" s="324" t="s">
        <v>41</v>
      </c>
      <c r="R2" s="325"/>
      <c r="S2" s="326"/>
      <c r="T2" s="324" t="s">
        <v>42</v>
      </c>
      <c r="U2" s="325"/>
      <c r="V2" s="326"/>
      <c r="W2" s="324" t="s">
        <v>43</v>
      </c>
      <c r="X2" s="325"/>
      <c r="Y2" s="326"/>
      <c r="Z2" s="324" t="s">
        <v>44</v>
      </c>
      <c r="AA2" s="325"/>
      <c r="AB2" s="326"/>
      <c r="AC2" s="324" t="s">
        <v>45</v>
      </c>
      <c r="AD2" s="325"/>
      <c r="AE2" s="326"/>
      <c r="AF2" s="328" t="s">
        <v>54</v>
      </c>
      <c r="AG2" s="328" t="s">
        <v>55</v>
      </c>
      <c r="AH2" s="328" t="s">
        <v>57</v>
      </c>
      <c r="AI2" s="328" t="s">
        <v>58</v>
      </c>
      <c r="AJ2" s="328" t="s">
        <v>59</v>
      </c>
      <c r="AK2" s="328" t="s">
        <v>60</v>
      </c>
      <c r="AL2" s="328" t="s">
        <v>61</v>
      </c>
      <c r="AM2" s="328" t="s">
        <v>62</v>
      </c>
      <c r="AN2" s="328" t="s">
        <v>63</v>
      </c>
      <c r="AO2" s="328"/>
      <c r="AP2" s="334" t="s">
        <v>18</v>
      </c>
      <c r="AQ2" s="334" t="s">
        <v>19</v>
      </c>
      <c r="AR2" s="334" t="s">
        <v>20</v>
      </c>
      <c r="AS2" s="334" t="s">
        <v>37</v>
      </c>
      <c r="AT2" s="334" t="s">
        <v>22</v>
      </c>
      <c r="AU2" s="328" t="s">
        <v>57</v>
      </c>
      <c r="AV2" s="328" t="s">
        <v>58</v>
      </c>
      <c r="AW2" s="328" t="s">
        <v>59</v>
      </c>
      <c r="AX2" s="328" t="s">
        <v>63</v>
      </c>
      <c r="AY2" s="328"/>
      <c r="AZ2" s="334" t="s">
        <v>18</v>
      </c>
      <c r="BA2" s="334" t="s">
        <v>19</v>
      </c>
      <c r="BB2" s="334" t="s">
        <v>20</v>
      </c>
      <c r="BC2" s="334" t="s">
        <v>37</v>
      </c>
      <c r="BD2" s="334" t="s">
        <v>22</v>
      </c>
      <c r="BE2" s="328" t="s">
        <v>57</v>
      </c>
      <c r="BF2" s="328" t="s">
        <v>58</v>
      </c>
      <c r="BG2" s="328" t="s">
        <v>59</v>
      </c>
      <c r="BH2" s="328" t="s">
        <v>63</v>
      </c>
      <c r="BI2" s="333" t="s">
        <v>89</v>
      </c>
      <c r="BJ2" s="348" t="s">
        <v>90</v>
      </c>
      <c r="BK2" s="351" t="s">
        <v>91</v>
      </c>
      <c r="BL2" s="333" t="s">
        <v>92</v>
      </c>
      <c r="BM2" s="348" t="s">
        <v>93</v>
      </c>
      <c r="BN2" s="351" t="s">
        <v>94</v>
      </c>
    </row>
    <row r="3" spans="1:66" s="60" customFormat="1" ht="15.75" thickBot="1">
      <c r="A3" s="323"/>
      <c r="B3" s="344"/>
      <c r="C3" s="16" t="s">
        <v>4</v>
      </c>
      <c r="D3" s="18" t="s">
        <v>5</v>
      </c>
      <c r="E3" s="74" t="s">
        <v>4</v>
      </c>
      <c r="F3" s="106" t="s">
        <v>5</v>
      </c>
      <c r="G3" s="124" t="s">
        <v>18</v>
      </c>
      <c r="H3" s="125" t="s">
        <v>19</v>
      </c>
      <c r="I3" s="125" t="s">
        <v>20</v>
      </c>
      <c r="J3" s="125" t="s">
        <v>37</v>
      </c>
      <c r="K3" s="125" t="s">
        <v>22</v>
      </c>
      <c r="L3" s="125" t="s">
        <v>18</v>
      </c>
      <c r="M3" s="125" t="s">
        <v>19</v>
      </c>
      <c r="N3" s="125" t="s">
        <v>20</v>
      </c>
      <c r="O3" s="125" t="s">
        <v>37</v>
      </c>
      <c r="P3" s="126" t="s">
        <v>22</v>
      </c>
      <c r="Q3" s="16" t="s">
        <v>4</v>
      </c>
      <c r="R3" s="17" t="s">
        <v>5</v>
      </c>
      <c r="S3" s="18" t="s">
        <v>14</v>
      </c>
      <c r="T3" s="16" t="s">
        <v>4</v>
      </c>
      <c r="U3" s="17" t="s">
        <v>5</v>
      </c>
      <c r="V3" s="18" t="s">
        <v>14</v>
      </c>
      <c r="W3" s="16" t="s">
        <v>4</v>
      </c>
      <c r="X3" s="17" t="s">
        <v>5</v>
      </c>
      <c r="Y3" s="18" t="s">
        <v>14</v>
      </c>
      <c r="Z3" s="16" t="s">
        <v>4</v>
      </c>
      <c r="AA3" s="17" t="s">
        <v>5</v>
      </c>
      <c r="AB3" s="18" t="s">
        <v>14</v>
      </c>
      <c r="AC3" s="16" t="s">
        <v>4</v>
      </c>
      <c r="AD3" s="17" t="s">
        <v>5</v>
      </c>
      <c r="AE3" s="18" t="s">
        <v>14</v>
      </c>
      <c r="AF3" s="329"/>
      <c r="AG3" s="329"/>
      <c r="AH3" s="329"/>
      <c r="AI3" s="329"/>
      <c r="AJ3" s="329"/>
      <c r="AK3" s="329"/>
      <c r="AL3" s="329"/>
      <c r="AM3" s="329"/>
      <c r="AN3" s="329"/>
      <c r="AO3" s="329"/>
      <c r="AP3" s="335"/>
      <c r="AQ3" s="335"/>
      <c r="AR3" s="335"/>
      <c r="AS3" s="335"/>
      <c r="AT3" s="335"/>
      <c r="AU3" s="329"/>
      <c r="AV3" s="329"/>
      <c r="AW3" s="329"/>
      <c r="AX3" s="329"/>
      <c r="AY3" s="329"/>
      <c r="AZ3" s="335"/>
      <c r="BA3" s="335"/>
      <c r="BB3" s="335"/>
      <c r="BC3" s="335"/>
      <c r="BD3" s="335"/>
      <c r="BE3" s="329"/>
      <c r="BF3" s="329"/>
      <c r="BG3" s="329"/>
      <c r="BH3" s="329"/>
      <c r="BI3" s="329"/>
      <c r="BJ3" s="349"/>
      <c r="BK3" s="352"/>
      <c r="BL3" s="329"/>
      <c r="BM3" s="349"/>
      <c r="BN3" s="352"/>
    </row>
    <row r="4" spans="1:66" s="64" customFormat="1" ht="15">
      <c r="A4" s="72">
        <v>2015</v>
      </c>
      <c r="B4" s="63">
        <v>0</v>
      </c>
      <c r="C4" s="107">
        <f aca="true" t="shared" si="0" ref="C4:C9">ROUNDDOWN($D$39*1.05^(A4-A$4),0)-$D$39</f>
        <v>0</v>
      </c>
      <c r="D4" s="109">
        <f>0</f>
        <v>0</v>
      </c>
      <c r="E4" s="104">
        <f aca="true" t="shared" si="1" ref="E4:E34">$D$40*C4</f>
        <v>0</v>
      </c>
      <c r="F4" s="105">
        <f>0*D4</f>
        <v>0</v>
      </c>
      <c r="G4" s="120">
        <f>'VMT Multipliers'!W$21</f>
        <v>0.14312195121951218</v>
      </c>
      <c r="H4" s="120">
        <f>'VMT Multipliers'!X$21</f>
        <v>0.25066787456445994</v>
      </c>
      <c r="I4" s="120">
        <f>'VMT Multipliers'!Y$21</f>
        <v>0.015675261324041814</v>
      </c>
      <c r="J4" s="120">
        <f>'VMT Multipliers'!Z$21</f>
        <v>0.061201672473867604</v>
      </c>
      <c r="K4" s="120">
        <f>'VMT Multipliers'!AA$21</f>
        <v>0.03748432055749129</v>
      </c>
      <c r="L4" s="118">
        <f>'VMT Multipliers'!W$20</f>
        <v>0.0013630662020905925</v>
      </c>
      <c r="M4" s="118">
        <f>'VMT Multipliers'!X$20</f>
        <v>0.10495609756097561</v>
      </c>
      <c r="N4" s="118">
        <f>'VMT Multipliers'!Y$20</f>
        <v>0.01622048780487805</v>
      </c>
      <c r="O4" s="118">
        <f>'VMT Multipliers'!Z$20</f>
        <v>0.01812878048780488</v>
      </c>
      <c r="P4" s="118">
        <f>'VMT Multipliers'!AA$20</f>
        <v>0.0012267595818815332</v>
      </c>
      <c r="Q4" s="61"/>
      <c r="R4" s="62"/>
      <c r="S4" s="63"/>
      <c r="T4" s="61"/>
      <c r="U4" s="62"/>
      <c r="V4" s="63"/>
      <c r="W4" s="61"/>
      <c r="X4" s="62"/>
      <c r="Y4" s="63"/>
      <c r="Z4" s="61"/>
      <c r="AA4" s="62"/>
      <c r="AB4" s="63"/>
      <c r="AC4" s="61"/>
      <c r="AD4" s="62"/>
      <c r="AE4" s="63"/>
      <c r="AF4" s="65"/>
      <c r="AG4" s="65"/>
      <c r="AH4" s="65"/>
      <c r="AI4" s="65"/>
      <c r="AJ4" s="65"/>
      <c r="AK4" s="65"/>
      <c r="AL4" s="65"/>
      <c r="AM4" s="68">
        <v>26.55</v>
      </c>
      <c r="AN4" s="65"/>
      <c r="AO4" s="67">
        <f>1/(1.03^(A4-A$4))</f>
        <v>1</v>
      </c>
      <c r="AP4" s="19"/>
      <c r="AQ4" s="19"/>
      <c r="AR4" s="19"/>
      <c r="AS4" s="19"/>
      <c r="AT4" s="19"/>
      <c r="AU4" s="66"/>
      <c r="AV4" s="66"/>
      <c r="AW4" s="66"/>
      <c r="AX4" s="66"/>
      <c r="AY4" s="67">
        <f>1/(1.07^(A4-A$4))</f>
        <v>1</v>
      </c>
      <c r="AZ4" s="19"/>
      <c r="BA4" s="19"/>
      <c r="BB4" s="19"/>
      <c r="BC4" s="19"/>
      <c r="BD4" s="19"/>
      <c r="BE4" s="66"/>
      <c r="BF4" s="66"/>
      <c r="BG4" s="66"/>
      <c r="BH4" s="66"/>
      <c r="BI4" s="87"/>
      <c r="BJ4" s="95"/>
      <c r="BK4" s="96"/>
      <c r="BL4" s="87"/>
      <c r="BM4" s="97"/>
      <c r="BN4" s="96"/>
    </row>
    <row r="5" spans="1:66" s="64" customFormat="1" ht="15">
      <c r="A5" s="71">
        <v>2016</v>
      </c>
      <c r="B5" s="15">
        <v>1</v>
      </c>
      <c r="C5" s="107">
        <f t="shared" si="0"/>
        <v>20735</v>
      </c>
      <c r="D5" s="108">
        <f>ROUNDDOWN($D$4*1.05^(A5-A$4),0)</f>
        <v>0</v>
      </c>
      <c r="E5" s="47">
        <f t="shared" si="1"/>
        <v>215436.64999999997</v>
      </c>
      <c r="F5" s="48">
        <f aca="true" t="shared" si="2" ref="F5:F34">0.71*D5</f>
        <v>0</v>
      </c>
      <c r="G5" s="120">
        <f>'VMT Multipliers'!W$21</f>
        <v>0.14312195121951218</v>
      </c>
      <c r="H5" s="120">
        <f>'VMT Multipliers'!X$21</f>
        <v>0.25066787456445994</v>
      </c>
      <c r="I5" s="120">
        <f>'VMT Multipliers'!Y$21</f>
        <v>0.015675261324041814</v>
      </c>
      <c r="J5" s="120">
        <f>'VMT Multipliers'!Z$21</f>
        <v>0.061201672473867604</v>
      </c>
      <c r="K5" s="120">
        <f>'VMT Multipliers'!AA$21</f>
        <v>0.03748432055749129</v>
      </c>
      <c r="L5" s="118">
        <f>'VMT Multipliers'!W$20</f>
        <v>0.0013630662020905925</v>
      </c>
      <c r="M5" s="118">
        <f>'VMT Multipliers'!X$20</f>
        <v>0.10495609756097561</v>
      </c>
      <c r="N5" s="118">
        <f>'VMT Multipliers'!Y$20</f>
        <v>0.01622048780487805</v>
      </c>
      <c r="O5" s="118">
        <f>'VMT Multipliers'!Z$20</f>
        <v>0.01812878048780488</v>
      </c>
      <c r="P5" s="118">
        <f>'VMT Multipliers'!AA$20</f>
        <v>0.0012267595818815332</v>
      </c>
      <c r="Q5" s="61"/>
      <c r="R5" s="62"/>
      <c r="S5" s="63"/>
      <c r="T5" s="61"/>
      <c r="U5" s="62"/>
      <c r="V5" s="63"/>
      <c r="W5" s="61"/>
      <c r="X5" s="62"/>
      <c r="Y5" s="63"/>
      <c r="Z5" s="61"/>
      <c r="AA5" s="62"/>
      <c r="AB5" s="63"/>
      <c r="AC5" s="61"/>
      <c r="AD5" s="62"/>
      <c r="AE5" s="63"/>
      <c r="AF5" s="65"/>
      <c r="AG5" s="65"/>
      <c r="AH5" s="65"/>
      <c r="AI5" s="65"/>
      <c r="AJ5" s="65"/>
      <c r="AK5" s="65"/>
      <c r="AL5" s="65"/>
      <c r="AM5" s="68">
        <v>27.12</v>
      </c>
      <c r="AN5" s="65"/>
      <c r="AO5" s="67">
        <f aca="true" t="shared" si="3" ref="AO5:AO34">1/(1.03^(A5-A$4))</f>
        <v>0.970873786407767</v>
      </c>
      <c r="AP5" s="19"/>
      <c r="AQ5" s="19"/>
      <c r="AR5" s="19"/>
      <c r="AS5" s="19"/>
      <c r="AT5" s="19"/>
      <c r="AU5" s="66"/>
      <c r="AV5" s="66"/>
      <c r="AW5" s="66"/>
      <c r="AX5" s="66"/>
      <c r="AY5" s="67">
        <f aca="true" t="shared" si="4" ref="AY5:AY34">1/(1.07^(A5-A$4))</f>
        <v>0.9345794392523364</v>
      </c>
      <c r="AZ5" s="19"/>
      <c r="BA5" s="19"/>
      <c r="BB5" s="19"/>
      <c r="BC5" s="19"/>
      <c r="BD5" s="19"/>
      <c r="BE5" s="66"/>
      <c r="BF5" s="66"/>
      <c r="BG5" s="66"/>
      <c r="BH5" s="66"/>
      <c r="BI5" s="88"/>
      <c r="BJ5" s="91"/>
      <c r="BK5" s="92"/>
      <c r="BL5" s="88"/>
      <c r="BM5" s="97"/>
      <c r="BN5" s="96"/>
    </row>
    <row r="6" spans="1:66" s="64" customFormat="1" ht="15">
      <c r="A6" s="72">
        <v>2017</v>
      </c>
      <c r="B6" s="200">
        <v>2</v>
      </c>
      <c r="C6" s="107">
        <f t="shared" si="0"/>
        <v>42506</v>
      </c>
      <c r="D6" s="108">
        <f aca="true" t="shared" si="5" ref="D6:D34">ROUNDDOWN($D$4*1.05^(A6-A$4),0)</f>
        <v>0</v>
      </c>
      <c r="E6" s="47">
        <f t="shared" si="1"/>
        <v>441637.33999999997</v>
      </c>
      <c r="F6" s="48">
        <f t="shared" si="2"/>
        <v>0</v>
      </c>
      <c r="G6" s="120">
        <f>'VMT Multipliers'!W$21</f>
        <v>0.14312195121951218</v>
      </c>
      <c r="H6" s="120">
        <f>'VMT Multipliers'!X$21</f>
        <v>0.25066787456445994</v>
      </c>
      <c r="I6" s="120">
        <f>'VMT Multipliers'!Y$21</f>
        <v>0.015675261324041814</v>
      </c>
      <c r="J6" s="120">
        <f>'VMT Multipliers'!Z$21</f>
        <v>0.061201672473867604</v>
      </c>
      <c r="K6" s="120">
        <f>'VMT Multipliers'!AA$21</f>
        <v>0.03748432055749129</v>
      </c>
      <c r="L6" s="118">
        <f>'VMT Multipliers'!W$20</f>
        <v>0.0013630662020905925</v>
      </c>
      <c r="M6" s="118">
        <f>'VMT Multipliers'!X$20</f>
        <v>0.10495609756097561</v>
      </c>
      <c r="N6" s="118">
        <f>'VMT Multipliers'!Y$20</f>
        <v>0.01622048780487805</v>
      </c>
      <c r="O6" s="118">
        <f>'VMT Multipliers'!Z$20</f>
        <v>0.01812878048780488</v>
      </c>
      <c r="P6" s="118">
        <f>'VMT Multipliers'!AA$20</f>
        <v>0.0012267595818815332</v>
      </c>
      <c r="Q6" s="61"/>
      <c r="R6" s="62"/>
      <c r="S6" s="63"/>
      <c r="T6" s="61"/>
      <c r="U6" s="62"/>
      <c r="V6" s="63"/>
      <c r="W6" s="61"/>
      <c r="X6" s="62"/>
      <c r="Y6" s="63"/>
      <c r="Z6" s="61"/>
      <c r="AA6" s="62"/>
      <c r="AB6" s="63"/>
      <c r="AC6" s="61"/>
      <c r="AD6" s="62"/>
      <c r="AE6" s="63"/>
      <c r="AF6" s="65"/>
      <c r="AG6" s="65"/>
      <c r="AH6" s="65"/>
      <c r="AI6" s="65"/>
      <c r="AJ6" s="65"/>
      <c r="AK6" s="65"/>
      <c r="AL6" s="65"/>
      <c r="AM6" s="68">
        <v>27.69</v>
      </c>
      <c r="AN6" s="65"/>
      <c r="AO6" s="67">
        <f t="shared" si="3"/>
        <v>0.9425959091337544</v>
      </c>
      <c r="AP6" s="19"/>
      <c r="AQ6" s="19"/>
      <c r="AR6" s="19"/>
      <c r="AS6" s="19"/>
      <c r="AT6" s="19"/>
      <c r="AU6" s="66"/>
      <c r="AV6" s="66"/>
      <c r="AW6" s="66"/>
      <c r="AX6" s="66"/>
      <c r="AY6" s="67">
        <f t="shared" si="4"/>
        <v>0.8734387282732116</v>
      </c>
      <c r="AZ6" s="19"/>
      <c r="BA6" s="19"/>
      <c r="BB6" s="19"/>
      <c r="BC6" s="19"/>
      <c r="BD6" s="19"/>
      <c r="BE6" s="66"/>
      <c r="BF6" s="66"/>
      <c r="BG6" s="66"/>
      <c r="BH6" s="66"/>
      <c r="BI6" s="88"/>
      <c r="BJ6" s="91"/>
      <c r="BK6" s="92"/>
      <c r="BL6" s="88"/>
      <c r="BM6" s="97"/>
      <c r="BN6" s="96"/>
    </row>
    <row r="7" spans="1:66" s="64" customFormat="1" ht="15">
      <c r="A7" s="71">
        <v>2018</v>
      </c>
      <c r="B7" s="15">
        <v>3</v>
      </c>
      <c r="C7" s="107">
        <f t="shared" si="0"/>
        <v>65367</v>
      </c>
      <c r="D7" s="108">
        <f t="shared" si="5"/>
        <v>0</v>
      </c>
      <c r="E7" s="47">
        <f t="shared" si="1"/>
        <v>679163.1299999999</v>
      </c>
      <c r="F7" s="48">
        <f t="shared" si="2"/>
        <v>0</v>
      </c>
      <c r="G7" s="120">
        <f>'VMT Multipliers'!W$21</f>
        <v>0.14312195121951218</v>
      </c>
      <c r="H7" s="120">
        <f>'VMT Multipliers'!X$21</f>
        <v>0.25066787456445994</v>
      </c>
      <c r="I7" s="120">
        <f>'VMT Multipliers'!Y$21</f>
        <v>0.015675261324041814</v>
      </c>
      <c r="J7" s="120">
        <f>'VMT Multipliers'!Z$21</f>
        <v>0.061201672473867604</v>
      </c>
      <c r="K7" s="120">
        <f>'VMT Multipliers'!AA$21</f>
        <v>0.03748432055749129</v>
      </c>
      <c r="L7" s="118">
        <f>'VMT Multipliers'!W$20</f>
        <v>0.0013630662020905925</v>
      </c>
      <c r="M7" s="118">
        <f>'VMT Multipliers'!X$20</f>
        <v>0.10495609756097561</v>
      </c>
      <c r="N7" s="118">
        <f>'VMT Multipliers'!Y$20</f>
        <v>0.01622048780487805</v>
      </c>
      <c r="O7" s="118">
        <f>'VMT Multipliers'!Z$20</f>
        <v>0.01812878048780488</v>
      </c>
      <c r="P7" s="118">
        <f>'VMT Multipliers'!AA$20</f>
        <v>0.0012267595818815332</v>
      </c>
      <c r="Q7" s="61"/>
      <c r="R7" s="62"/>
      <c r="S7" s="63"/>
      <c r="T7" s="61"/>
      <c r="U7" s="62"/>
      <c r="V7" s="63"/>
      <c r="W7" s="61"/>
      <c r="X7" s="62"/>
      <c r="Y7" s="63"/>
      <c r="Z7" s="61"/>
      <c r="AA7" s="62"/>
      <c r="AB7" s="63"/>
      <c r="AC7" s="61"/>
      <c r="AD7" s="62"/>
      <c r="AE7" s="63"/>
      <c r="AF7" s="65"/>
      <c r="AG7" s="65"/>
      <c r="AH7" s="65"/>
      <c r="AI7" s="65"/>
      <c r="AJ7" s="65"/>
      <c r="AK7" s="65"/>
      <c r="AL7" s="65"/>
      <c r="AM7" s="68">
        <v>28.26</v>
      </c>
      <c r="AN7" s="65"/>
      <c r="AO7" s="67">
        <f t="shared" si="3"/>
        <v>0.9151416593531596</v>
      </c>
      <c r="AP7" s="19"/>
      <c r="AQ7" s="19"/>
      <c r="AR7" s="19"/>
      <c r="AS7" s="19"/>
      <c r="AT7" s="19"/>
      <c r="AU7" s="66"/>
      <c r="AV7" s="66"/>
      <c r="AW7" s="66"/>
      <c r="AX7" s="66"/>
      <c r="AY7" s="67">
        <f t="shared" si="4"/>
        <v>0.8162978768908519</v>
      </c>
      <c r="AZ7" s="19"/>
      <c r="BA7" s="19"/>
      <c r="BB7" s="19"/>
      <c r="BC7" s="19"/>
      <c r="BD7" s="19"/>
      <c r="BE7" s="66"/>
      <c r="BF7" s="66"/>
      <c r="BG7" s="66"/>
      <c r="BH7" s="66"/>
      <c r="BI7" s="88"/>
      <c r="BJ7" s="91"/>
      <c r="BK7" s="92"/>
      <c r="BL7" s="88"/>
      <c r="BM7" s="97"/>
      <c r="BN7" s="96"/>
    </row>
    <row r="8" spans="1:66" s="64" customFormat="1" ht="15">
      <c r="A8" s="72">
        <v>2019</v>
      </c>
      <c r="B8" s="200">
        <v>4</v>
      </c>
      <c r="C8" s="107">
        <f t="shared" si="0"/>
        <v>89370</v>
      </c>
      <c r="D8" s="108">
        <f t="shared" si="5"/>
        <v>0</v>
      </c>
      <c r="E8" s="47">
        <f t="shared" si="1"/>
        <v>928554.2999999999</v>
      </c>
      <c r="F8" s="48">
        <f t="shared" si="2"/>
        <v>0</v>
      </c>
      <c r="G8" s="120">
        <f>'VMT Multipliers'!W$21</f>
        <v>0.14312195121951218</v>
      </c>
      <c r="H8" s="120">
        <f>'VMT Multipliers'!X$21</f>
        <v>0.25066787456445994</v>
      </c>
      <c r="I8" s="120">
        <f>'VMT Multipliers'!Y$21</f>
        <v>0.015675261324041814</v>
      </c>
      <c r="J8" s="120">
        <f>'VMT Multipliers'!Z$21</f>
        <v>0.061201672473867604</v>
      </c>
      <c r="K8" s="120">
        <f>'VMT Multipliers'!AA$21</f>
        <v>0.03748432055749129</v>
      </c>
      <c r="L8" s="118">
        <f>'VMT Multipliers'!W$20</f>
        <v>0.0013630662020905925</v>
      </c>
      <c r="M8" s="118">
        <f>'VMT Multipliers'!X$20</f>
        <v>0.10495609756097561</v>
      </c>
      <c r="N8" s="118">
        <f>'VMT Multipliers'!Y$20</f>
        <v>0.01622048780487805</v>
      </c>
      <c r="O8" s="118">
        <f>'VMT Multipliers'!Z$20</f>
        <v>0.01812878048780488</v>
      </c>
      <c r="P8" s="118">
        <f>'VMT Multipliers'!AA$20</f>
        <v>0.0012267595818815332</v>
      </c>
      <c r="Q8" s="61"/>
      <c r="R8" s="62"/>
      <c r="S8" s="63"/>
      <c r="T8" s="61"/>
      <c r="U8" s="62"/>
      <c r="V8" s="63"/>
      <c r="W8" s="61"/>
      <c r="X8" s="62"/>
      <c r="Y8" s="63"/>
      <c r="Z8" s="61"/>
      <c r="AA8" s="62"/>
      <c r="AB8" s="63"/>
      <c r="AC8" s="61"/>
      <c r="AD8" s="62"/>
      <c r="AE8" s="63"/>
      <c r="AF8" s="65"/>
      <c r="AG8" s="65"/>
      <c r="AH8" s="65"/>
      <c r="AI8" s="65"/>
      <c r="AJ8" s="65"/>
      <c r="AK8" s="65"/>
      <c r="AL8" s="65"/>
      <c r="AM8" s="68">
        <v>28.83</v>
      </c>
      <c r="AN8" s="65"/>
      <c r="AO8" s="67">
        <f t="shared" si="3"/>
        <v>0.888487047915689</v>
      </c>
      <c r="AP8" s="19"/>
      <c r="AQ8" s="19"/>
      <c r="AR8" s="19"/>
      <c r="AS8" s="19"/>
      <c r="AT8" s="19"/>
      <c r="AU8" s="66"/>
      <c r="AV8" s="66"/>
      <c r="AW8" s="66"/>
      <c r="AX8" s="66"/>
      <c r="AY8" s="67">
        <f t="shared" si="4"/>
        <v>0.7628952120475252</v>
      </c>
      <c r="AZ8" s="19"/>
      <c r="BA8" s="19"/>
      <c r="BB8" s="19"/>
      <c r="BC8" s="19"/>
      <c r="BD8" s="19"/>
      <c r="BE8" s="66"/>
      <c r="BF8" s="66"/>
      <c r="BG8" s="66"/>
      <c r="BH8" s="66"/>
      <c r="BI8" s="88"/>
      <c r="BJ8" s="91"/>
      <c r="BK8" s="92"/>
      <c r="BL8" s="88"/>
      <c r="BM8" s="97"/>
      <c r="BN8" s="96"/>
    </row>
    <row r="9" spans="1:66" s="64" customFormat="1" ht="15">
      <c r="A9" s="71">
        <v>2020</v>
      </c>
      <c r="B9" s="15">
        <v>5</v>
      </c>
      <c r="C9" s="107">
        <f t="shared" si="0"/>
        <v>114573</v>
      </c>
      <c r="D9" s="108">
        <f t="shared" si="5"/>
        <v>0</v>
      </c>
      <c r="E9" s="47">
        <f t="shared" si="1"/>
        <v>1190413.47</v>
      </c>
      <c r="F9" s="48">
        <f t="shared" si="2"/>
        <v>0</v>
      </c>
      <c r="G9" s="120">
        <f>'VMT Multipliers'!W$21</f>
        <v>0.14312195121951218</v>
      </c>
      <c r="H9" s="120">
        <f>'VMT Multipliers'!X$21</f>
        <v>0.25066787456445994</v>
      </c>
      <c r="I9" s="120">
        <f>'VMT Multipliers'!Y$21</f>
        <v>0.015675261324041814</v>
      </c>
      <c r="J9" s="120">
        <f>'VMT Multipliers'!Z$21</f>
        <v>0.061201672473867604</v>
      </c>
      <c r="K9" s="120">
        <f>'VMT Multipliers'!AA$21</f>
        <v>0.03748432055749129</v>
      </c>
      <c r="L9" s="118">
        <f>'VMT Multipliers'!W$20</f>
        <v>0.0013630662020905925</v>
      </c>
      <c r="M9" s="118">
        <f>'VMT Multipliers'!X$20</f>
        <v>0.10495609756097561</v>
      </c>
      <c r="N9" s="118">
        <f>'VMT Multipliers'!Y$20</f>
        <v>0.01622048780487805</v>
      </c>
      <c r="O9" s="118">
        <f>'VMT Multipliers'!Z$20</f>
        <v>0.01812878048780488</v>
      </c>
      <c r="P9" s="118">
        <f>'VMT Multipliers'!AA$20</f>
        <v>0.0012267595818815332</v>
      </c>
      <c r="Q9" s="91">
        <f>E9*G9</f>
        <v>170374.29858439023</v>
      </c>
      <c r="R9" s="27">
        <f aca="true" t="shared" si="6" ref="R9:R14">F9*L9</f>
        <v>0</v>
      </c>
      <c r="S9" s="28">
        <f>SUM(Q9:R9)</f>
        <v>170374.29858439023</v>
      </c>
      <c r="T9" s="91">
        <f>E9*H9</f>
        <v>298398.4143778035</v>
      </c>
      <c r="U9" s="27">
        <f>F9*M9</f>
        <v>0</v>
      </c>
      <c r="V9" s="28">
        <f>SUM(T9:U9)</f>
        <v>298398.4143778035</v>
      </c>
      <c r="W9" s="91">
        <f>E9*I9</f>
        <v>18660.04222590941</v>
      </c>
      <c r="X9" s="27">
        <f>F9*N9</f>
        <v>0</v>
      </c>
      <c r="Y9" s="28">
        <f>SUM(W9:X9)</f>
        <v>18660.04222590941</v>
      </c>
      <c r="Z9" s="91">
        <f>E9*J9</f>
        <v>72855.29529942022</v>
      </c>
      <c r="AA9" s="27">
        <f>F9*O9</f>
        <v>0</v>
      </c>
      <c r="AB9" s="28">
        <f>SUM(Z9:AA9)</f>
        <v>72855.29529942022</v>
      </c>
      <c r="AC9" s="91">
        <f>E9*K9</f>
        <v>44621.84010543554</v>
      </c>
      <c r="AD9" s="27">
        <f>F9*P9</f>
        <v>0</v>
      </c>
      <c r="AE9" s="28">
        <f>SUM(AC9:AD9)</f>
        <v>44621.84010543554</v>
      </c>
      <c r="AF9" s="20">
        <f aca="true" t="shared" si="7" ref="AF9:AF14">E9/$AE$38</f>
        <v>192002.17258064516</v>
      </c>
      <c r="AG9" s="20">
        <f aca="true" t="shared" si="8" ref="AG9:AG14">F9/$AE$39</f>
        <v>0</v>
      </c>
      <c r="AH9" s="29">
        <f aca="true" t="shared" si="9" ref="AH9:AH14">(AF9+AG9)*$AE$40</f>
        <v>395524.47551612905</v>
      </c>
      <c r="AI9" s="29">
        <f aca="true" t="shared" si="10" ref="AI9:AI14">-1*AF9*$AH$38</f>
        <v>-46848.53010967742</v>
      </c>
      <c r="AJ9" s="29">
        <f aca="true" t="shared" si="11" ref="AJ9:AJ14">-1*AG9*$AH$39</f>
        <v>0</v>
      </c>
      <c r="AK9" s="33">
        <f aca="true" t="shared" si="12" ref="AK9:AK14">(E9*$AK$38)</f>
        <v>17856202.05</v>
      </c>
      <c r="AL9" s="32">
        <f aca="true" t="shared" si="13" ref="AL9:AL14">$AK$39*AK9/1000000</f>
        <v>1278.6826288005002</v>
      </c>
      <c r="AM9" s="68">
        <v>29.4</v>
      </c>
      <c r="AN9" s="29">
        <f>AL9*AM9</f>
        <v>37593.26928673471</v>
      </c>
      <c r="AO9" s="67">
        <f t="shared" si="3"/>
        <v>0.8626087843841641</v>
      </c>
      <c r="AP9" s="88">
        <f>AO9*S9</f>
        <v>146966.36659218546</v>
      </c>
      <c r="AQ9" s="88">
        <f>AO9*V9</f>
        <v>257401.09348859917</v>
      </c>
      <c r="AR9" s="88">
        <f>AO9*Y9</f>
        <v>16096.316341048887</v>
      </c>
      <c r="AS9" s="88">
        <f>AO9*AB9</f>
        <v>62845.61771418218</v>
      </c>
      <c r="AT9" s="88">
        <f>AO9*AE9</f>
        <v>38491.1912503343</v>
      </c>
      <c r="AU9" s="87">
        <f>AH9*AO9</f>
        <v>341182.8870191522</v>
      </c>
      <c r="AV9" s="87">
        <f>AI9*AO9</f>
        <v>-40411.95360809375</v>
      </c>
      <c r="AW9" s="87">
        <f>AJ9*AO9</f>
        <v>0</v>
      </c>
      <c r="AX9" s="87">
        <f>AN9*AO9</f>
        <v>32428.284320456758</v>
      </c>
      <c r="AY9" s="67">
        <f t="shared" si="4"/>
        <v>0.7129861794836684</v>
      </c>
      <c r="AZ9" s="88">
        <f>AY9*S9</f>
        <v>121474.52022989416</v>
      </c>
      <c r="BA9" s="88">
        <f>AY9*V9</f>
        <v>212753.94543121467</v>
      </c>
      <c r="BB9" s="88">
        <f>AY9*Y9</f>
        <v>13304.352215655077</v>
      </c>
      <c r="BC9" s="88">
        <f>AY9*AB9</f>
        <v>51944.81865068809</v>
      </c>
      <c r="BD9" s="88">
        <f>AY9*AE9</f>
        <v>31814.755298305616</v>
      </c>
      <c r="BE9" s="87">
        <f>AH9*AY9</f>
        <v>282003.4846905266</v>
      </c>
      <c r="BF9" s="87">
        <f>AI9*AY9</f>
        <v>-33402.35449732451</v>
      </c>
      <c r="BG9" s="87">
        <f>AJ9*AY9</f>
        <v>0</v>
      </c>
      <c r="BH9" s="87">
        <f>AN9*AY9</f>
        <v>26803.48144304971</v>
      </c>
      <c r="BI9" s="88">
        <f>500000</f>
        <v>500000</v>
      </c>
      <c r="BJ9" s="91">
        <f>BI9*AO9</f>
        <v>431304.3921920821</v>
      </c>
      <c r="BK9" s="92">
        <f>BI9*AY9</f>
        <v>356493.0897418342</v>
      </c>
      <c r="BL9" s="88">
        <f>500</f>
        <v>500</v>
      </c>
      <c r="BM9" s="97">
        <f>BL9*AO9</f>
        <v>431.30439219208205</v>
      </c>
      <c r="BN9" s="96">
        <f>BL9*AY9</f>
        <v>356.4930897418342</v>
      </c>
    </row>
    <row r="10" spans="1:66" s="60" customFormat="1" ht="15">
      <c r="A10" s="72">
        <v>2021</v>
      </c>
      <c r="B10" s="200">
        <v>6</v>
      </c>
      <c r="C10" s="107">
        <f>ROUNDDOWN($D$42*1.01^(A10-A$9),0)-$D$39</f>
        <v>119865</v>
      </c>
      <c r="D10" s="108">
        <f t="shared" si="5"/>
        <v>0</v>
      </c>
      <c r="E10" s="47">
        <f t="shared" si="1"/>
        <v>1245397.3499999999</v>
      </c>
      <c r="F10" s="48">
        <f t="shared" si="2"/>
        <v>0</v>
      </c>
      <c r="G10" s="120">
        <f>'VMT Multipliers'!W$21</f>
        <v>0.14312195121951218</v>
      </c>
      <c r="H10" s="120">
        <f>'VMT Multipliers'!X$21</f>
        <v>0.25066787456445994</v>
      </c>
      <c r="I10" s="120">
        <f>'VMT Multipliers'!Y$21</f>
        <v>0.015675261324041814</v>
      </c>
      <c r="J10" s="120">
        <f>'VMT Multipliers'!Z$21</f>
        <v>0.061201672473867604</v>
      </c>
      <c r="K10" s="120">
        <f>'VMT Multipliers'!AA$21</f>
        <v>0.03748432055749129</v>
      </c>
      <c r="L10" s="118">
        <f>'VMT Multipliers'!W$20</f>
        <v>0.0013630662020905925</v>
      </c>
      <c r="M10" s="118">
        <f>'VMT Multipliers'!X$20</f>
        <v>0.10495609756097561</v>
      </c>
      <c r="N10" s="118">
        <f>'VMT Multipliers'!Y$20</f>
        <v>0.01622048780487805</v>
      </c>
      <c r="O10" s="118">
        <f>'VMT Multipliers'!Z$20</f>
        <v>0.01812878048780488</v>
      </c>
      <c r="P10" s="118">
        <f>'VMT Multipliers'!AA$20</f>
        <v>0.0012267595818815332</v>
      </c>
      <c r="Q10" s="91">
        <f>E10*G10</f>
        <v>178243.69877560972</v>
      </c>
      <c r="R10" s="27">
        <f t="shared" si="6"/>
        <v>0</v>
      </c>
      <c r="S10" s="28">
        <f>SUM(Q10:R10)</f>
        <v>178243.69877560972</v>
      </c>
      <c r="T10" s="91">
        <f>E10*H10</f>
        <v>312181.10671271075</v>
      </c>
      <c r="U10" s="27">
        <f>F10*M10</f>
        <v>0</v>
      </c>
      <c r="V10" s="28">
        <f>SUM(T10:U10)</f>
        <v>312181.10671271075</v>
      </c>
      <c r="W10" s="91">
        <f>E10*I10</f>
        <v>19521.928913519165</v>
      </c>
      <c r="X10" s="27">
        <f>F10*N10</f>
        <v>0</v>
      </c>
      <c r="Y10" s="28">
        <f>SUM(W10:X10)</f>
        <v>19521.928913519165</v>
      </c>
      <c r="Z10" s="91">
        <f>E10*J10</f>
        <v>76220.40071452265</v>
      </c>
      <c r="AA10" s="27">
        <f>F10*O10</f>
        <v>0</v>
      </c>
      <c r="AB10" s="28">
        <f>SUM(Z10:AA10)</f>
        <v>76220.40071452265</v>
      </c>
      <c r="AC10" s="91">
        <f>E10*K10</f>
        <v>46682.87348885017</v>
      </c>
      <c r="AD10" s="27">
        <f>F10*P10</f>
        <v>0</v>
      </c>
      <c r="AE10" s="28">
        <f>SUM(AC10:AD10)</f>
        <v>46682.87348885017</v>
      </c>
      <c r="AF10" s="20">
        <f t="shared" si="7"/>
        <v>200870.5403225806</v>
      </c>
      <c r="AG10" s="20">
        <f t="shared" si="8"/>
        <v>0</v>
      </c>
      <c r="AH10" s="29">
        <f t="shared" si="9"/>
        <v>413793.31306451606</v>
      </c>
      <c r="AI10" s="29">
        <f t="shared" si="10"/>
        <v>-49012.41183870967</v>
      </c>
      <c r="AJ10" s="29">
        <f t="shared" si="11"/>
        <v>0</v>
      </c>
      <c r="AK10" s="33">
        <f t="shared" si="12"/>
        <v>18680960.249999996</v>
      </c>
      <c r="AL10" s="32">
        <f t="shared" si="13"/>
        <v>1337.7435635025</v>
      </c>
      <c r="AM10" s="68">
        <v>29.97</v>
      </c>
      <c r="AN10" s="29">
        <f>AL10*AM10</f>
        <v>40092.17459816992</v>
      </c>
      <c r="AO10" s="67">
        <f t="shared" si="3"/>
        <v>0.8374842566836544</v>
      </c>
      <c r="AP10" s="88">
        <f>AO10*S10</f>
        <v>149276.29157763673</v>
      </c>
      <c r="AQ10" s="88">
        <f>AO10*V10</f>
        <v>261446.76210597518</v>
      </c>
      <c r="AR10" s="88">
        <f>AO10*Y10</f>
        <v>16349.30812516974</v>
      </c>
      <c r="AS10" s="88">
        <f>AO10*AB10</f>
        <v>63833.385636532286</v>
      </c>
      <c r="AT10" s="88">
        <f>AO10*AE10</f>
        <v>39096.171603666764</v>
      </c>
      <c r="AU10" s="87">
        <f>AH10*AO10</f>
        <v>346545.38521250297</v>
      </c>
      <c r="AV10" s="87">
        <f>AI10*AO10</f>
        <v>-41047.123297014914</v>
      </c>
      <c r="AW10" s="87">
        <f>AJ10*AO10</f>
        <v>0</v>
      </c>
      <c r="AX10" s="87">
        <f>AN10*AO10</f>
        <v>33576.56504217963</v>
      </c>
      <c r="AY10" s="67">
        <f t="shared" si="4"/>
        <v>0.6663422238165125</v>
      </c>
      <c r="AZ10" s="88">
        <f>AY10*S10</f>
        <v>118771.30262342037</v>
      </c>
      <c r="BA10" s="88">
        <f>AY10*V10</f>
        <v>208019.4528804477</v>
      </c>
      <c r="BB10" s="88">
        <f>AY10*Y10</f>
        <v>13008.285525422234</v>
      </c>
      <c r="BC10" s="88">
        <f>AY10*AB10</f>
        <v>50788.871312300726</v>
      </c>
      <c r="BD10" s="88">
        <f>AY10*AE10</f>
        <v>31106.76973470534</v>
      </c>
      <c r="BE10" s="87">
        <f>AH10*AY10</f>
        <v>275727.956427812</v>
      </c>
      <c r="BF10" s="87">
        <f>AI10*AY10</f>
        <v>-32659.039499216567</v>
      </c>
      <c r="BG10" s="87">
        <f>AJ10*AY10</f>
        <v>0</v>
      </c>
      <c r="BH10" s="87">
        <f>AN10*AY10</f>
        <v>26715.108779384438</v>
      </c>
      <c r="BI10" s="88">
        <f>500000</f>
        <v>500000</v>
      </c>
      <c r="BJ10" s="91">
        <f>BI10*AO10</f>
        <v>418742.12834182725</v>
      </c>
      <c r="BK10" s="92">
        <f>BI10*AY10</f>
        <v>333171.11190825625</v>
      </c>
      <c r="BL10" s="88">
        <f>500</f>
        <v>500</v>
      </c>
      <c r="BM10" s="97">
        <f aca="true" t="shared" si="14" ref="BM10:BM34">BL10*AO10</f>
        <v>418.7421283418272</v>
      </c>
      <c r="BN10" s="96">
        <f aca="true" t="shared" si="15" ref="BN10:BN34">BL10*AY10</f>
        <v>333.17111190825625</v>
      </c>
    </row>
    <row r="11" spans="1:66" s="60" customFormat="1" ht="15">
      <c r="A11" s="71">
        <v>2022</v>
      </c>
      <c r="B11" s="15">
        <v>7</v>
      </c>
      <c r="C11" s="165">
        <f>ROUNDDOWN($D$42*1.01^(A11-A$9),0)-$D$39</f>
        <v>125211</v>
      </c>
      <c r="D11" s="108">
        <f t="shared" si="5"/>
        <v>0</v>
      </c>
      <c r="E11" s="47">
        <f t="shared" si="1"/>
        <v>1300942.2899999998</v>
      </c>
      <c r="F11" s="48">
        <f t="shared" si="2"/>
        <v>0</v>
      </c>
      <c r="G11" s="120">
        <f>'VMT Multipliers'!W$21</f>
        <v>0.14312195121951218</v>
      </c>
      <c r="H11" s="120">
        <f>'VMT Multipliers'!X$21</f>
        <v>0.25066787456445994</v>
      </c>
      <c r="I11" s="120">
        <f>'VMT Multipliers'!Y$21</f>
        <v>0.015675261324041814</v>
      </c>
      <c r="J11" s="120">
        <f>'VMT Multipliers'!Z$21</f>
        <v>0.061201672473867604</v>
      </c>
      <c r="K11" s="120">
        <f>'VMT Multipliers'!AA$21</f>
        <v>0.03748432055749129</v>
      </c>
      <c r="L11" s="118">
        <f>'VMT Multipliers'!W$20</f>
        <v>0.0013630662020905925</v>
      </c>
      <c r="M11" s="118">
        <f>'VMT Multipliers'!X$20</f>
        <v>0.10495609756097561</v>
      </c>
      <c r="N11" s="118">
        <f>'VMT Multipliers'!Y$20</f>
        <v>0.01622048780487805</v>
      </c>
      <c r="O11" s="118">
        <f>'VMT Multipliers'!Z$20</f>
        <v>0.01812878048780488</v>
      </c>
      <c r="P11" s="118">
        <f>'VMT Multipliers'!AA$20</f>
        <v>0.0012267595818815332</v>
      </c>
      <c r="Q11" s="91">
        <f>E11*G11</f>
        <v>186193.39896878044</v>
      </c>
      <c r="R11" s="27">
        <f t="shared" si="6"/>
        <v>0</v>
      </c>
      <c r="S11" s="28">
        <f>SUM(Q11:R11)</f>
        <v>186193.39896878044</v>
      </c>
      <c r="T11" s="91">
        <f>E11*H11</f>
        <v>326104.4387653212</v>
      </c>
      <c r="U11" s="27">
        <f>F11*M11</f>
        <v>0</v>
      </c>
      <c r="V11" s="28">
        <f>SUM(T11:U11)</f>
        <v>326104.4387653212</v>
      </c>
      <c r="W11" s="91">
        <f>E11*I11</f>
        <v>20392.610363247386</v>
      </c>
      <c r="X11" s="27">
        <f>F11*N11</f>
        <v>0</v>
      </c>
      <c r="Y11" s="28">
        <f>SUM(W11:X11)</f>
        <v>20392.610363247386</v>
      </c>
      <c r="Z11" s="91">
        <f>E11*J11</f>
        <v>79619.84393998327</v>
      </c>
      <c r="AA11" s="27">
        <f>F11*O11</f>
        <v>0</v>
      </c>
      <c r="AB11" s="28">
        <f>SUM(Z11:AA11)</f>
        <v>79619.84393998327</v>
      </c>
      <c r="AC11" s="91">
        <f>E11*K11</f>
        <v>48764.93782515679</v>
      </c>
      <c r="AD11" s="27">
        <f>F11*P11</f>
        <v>0</v>
      </c>
      <c r="AE11" s="28">
        <f>SUM(AC11:AD11)</f>
        <v>48764.93782515679</v>
      </c>
      <c r="AF11" s="20">
        <f t="shared" si="7"/>
        <v>209829.4016129032</v>
      </c>
      <c r="AG11" s="20">
        <f t="shared" si="8"/>
        <v>0</v>
      </c>
      <c r="AH11" s="29">
        <f t="shared" si="9"/>
        <v>432248.5673225806</v>
      </c>
      <c r="AI11" s="29">
        <f t="shared" si="10"/>
        <v>-51198.373993548375</v>
      </c>
      <c r="AJ11" s="29">
        <f t="shared" si="11"/>
        <v>0</v>
      </c>
      <c r="AK11" s="33">
        <f t="shared" si="12"/>
        <v>19514134.349999998</v>
      </c>
      <c r="AL11" s="32">
        <f t="shared" si="13"/>
        <v>1397.4071608035</v>
      </c>
      <c r="AM11" s="68">
        <v>30.54</v>
      </c>
      <c r="AN11" s="29">
        <f>AL11*AM11</f>
        <v>42676.81469093889</v>
      </c>
      <c r="AO11" s="67">
        <f t="shared" si="3"/>
        <v>0.8130915113433538</v>
      </c>
      <c r="AP11" s="88">
        <f>AO11*S11</f>
        <v>151392.27216968173</v>
      </c>
      <c r="AQ11" s="88">
        <f>AO11*V11</f>
        <v>265152.7509714712</v>
      </c>
      <c r="AR11" s="88">
        <f>AO11*Y11</f>
        <v>16581.058380488957</v>
      </c>
      <c r="AS11" s="88">
        <f>AO11*AB11</f>
        <v>64738.21924208297</v>
      </c>
      <c r="AT11" s="88">
        <f>AO11*AE11</f>
        <v>39650.356996821414</v>
      </c>
      <c r="AU11" s="87">
        <f>AH11*AO11</f>
        <v>351457.6408803165</v>
      </c>
      <c r="AV11" s="87">
        <f>AI11*AO11</f>
        <v>-41628.96328873651</v>
      </c>
      <c r="AW11" s="87">
        <f>AJ11*AO11</f>
        <v>0</v>
      </c>
      <c r="AX11" s="87">
        <f>AN11*AO11</f>
        <v>34700.155756375745</v>
      </c>
      <c r="AY11" s="67">
        <f t="shared" si="4"/>
        <v>0.6227497418845911</v>
      </c>
      <c r="AZ11" s="88">
        <f>AY11*S11</f>
        <v>115951.89114842271</v>
      </c>
      <c r="BA11" s="88">
        <f>AY11*V11</f>
        <v>203081.45506852324</v>
      </c>
      <c r="BB11" s="88">
        <f>AY11*Y11</f>
        <v>12699.492840065346</v>
      </c>
      <c r="BC11" s="88">
        <f>AY11*AB11</f>
        <v>49583.237262516006</v>
      </c>
      <c r="BD11" s="88">
        <f>AY11*AE11</f>
        <v>30368.352443634525</v>
      </c>
      <c r="BE11" s="87">
        <f>AH11*AY11</f>
        <v>269182.68373012135</v>
      </c>
      <c r="BF11" s="87">
        <f>AI11*AY11</f>
        <v>-31883.77418939301</v>
      </c>
      <c r="BG11" s="87">
        <f>AJ11*AY11</f>
        <v>0</v>
      </c>
      <c r="BH11" s="87">
        <f>AN11*AY11</f>
        <v>26576.97533323872</v>
      </c>
      <c r="BI11" s="88">
        <f>500000</f>
        <v>500000</v>
      </c>
      <c r="BJ11" s="91">
        <f>BI11*AO11</f>
        <v>406545.7556716769</v>
      </c>
      <c r="BK11" s="92">
        <f>BI11*AY11</f>
        <v>311374.8709422955</v>
      </c>
      <c r="BL11" s="88">
        <f>500</f>
        <v>500</v>
      </c>
      <c r="BM11" s="97">
        <f t="shared" si="14"/>
        <v>406.5457556716769</v>
      </c>
      <c r="BN11" s="96">
        <f t="shared" si="15"/>
        <v>311.37487094229556</v>
      </c>
    </row>
    <row r="12" spans="1:66" s="60" customFormat="1" ht="15">
      <c r="A12" s="72">
        <v>2023</v>
      </c>
      <c r="B12" s="200">
        <v>8</v>
      </c>
      <c r="C12" s="165">
        <f>ROUNDDOWN($D$42*1.01^(A12-A$9),0)-$D$39</f>
        <v>130610</v>
      </c>
      <c r="D12" s="108">
        <f t="shared" si="5"/>
        <v>0</v>
      </c>
      <c r="E12" s="47">
        <f t="shared" si="1"/>
        <v>1357037.9</v>
      </c>
      <c r="F12" s="48">
        <f t="shared" si="2"/>
        <v>0</v>
      </c>
      <c r="G12" s="120">
        <f>'VMT Multipliers'!W$21</f>
        <v>0.14312195121951218</v>
      </c>
      <c r="H12" s="120">
        <f>'VMT Multipliers'!X$21</f>
        <v>0.25066787456445994</v>
      </c>
      <c r="I12" s="120">
        <f>'VMT Multipliers'!Y$21</f>
        <v>0.015675261324041814</v>
      </c>
      <c r="J12" s="120">
        <f>'VMT Multipliers'!Z$21</f>
        <v>0.061201672473867604</v>
      </c>
      <c r="K12" s="120">
        <f>'VMT Multipliers'!AA$21</f>
        <v>0.03748432055749129</v>
      </c>
      <c r="L12" s="118">
        <f>'VMT Multipliers'!W$20</f>
        <v>0.0013630662020905925</v>
      </c>
      <c r="M12" s="118">
        <f>'VMT Multipliers'!X$20</f>
        <v>0.10495609756097561</v>
      </c>
      <c r="N12" s="118">
        <f>'VMT Multipliers'!Y$20</f>
        <v>0.01622048780487805</v>
      </c>
      <c r="O12" s="118">
        <f>'VMT Multipliers'!Z$20</f>
        <v>0.01812878048780488</v>
      </c>
      <c r="P12" s="118">
        <f>'VMT Multipliers'!AA$20</f>
        <v>0.0012267595818815332</v>
      </c>
      <c r="Q12" s="91">
        <f>E12*G12</f>
        <v>194221.91212682924</v>
      </c>
      <c r="R12" s="27">
        <f t="shared" si="6"/>
        <v>0</v>
      </c>
      <c r="S12" s="28">
        <f>SUM(Q12:R12)</f>
        <v>194221.91212682924</v>
      </c>
      <c r="T12" s="91">
        <f>E12*H12</f>
        <v>340165.8060964181</v>
      </c>
      <c r="U12" s="27">
        <f>F12*M12</f>
        <v>0</v>
      </c>
      <c r="V12" s="28">
        <f>SUM(T12:U12)</f>
        <v>340165.8060964181</v>
      </c>
      <c r="W12" s="91">
        <f>E12*I12</f>
        <v>21271.92370912892</v>
      </c>
      <c r="X12" s="27">
        <f>F12*N12</f>
        <v>0</v>
      </c>
      <c r="Y12" s="28">
        <f>SUM(W12:X12)</f>
        <v>21271.92370912892</v>
      </c>
      <c r="Z12" s="91">
        <f>E12*J12</f>
        <v>83052.9890904251</v>
      </c>
      <c r="AA12" s="27">
        <f>F12*O12</f>
        <v>0</v>
      </c>
      <c r="AB12" s="28">
        <f>SUM(Z12:AA12)</f>
        <v>83052.9890904251</v>
      </c>
      <c r="AC12" s="91">
        <f>E12*K12</f>
        <v>50867.64365226481</v>
      </c>
      <c r="AD12" s="27">
        <f>F12*P12</f>
        <v>0</v>
      </c>
      <c r="AE12" s="28">
        <f>SUM(AC12:AD12)</f>
        <v>50867.64365226481</v>
      </c>
      <c r="AF12" s="20">
        <f t="shared" si="7"/>
        <v>218877.08064516127</v>
      </c>
      <c r="AG12" s="20">
        <f t="shared" si="8"/>
        <v>0</v>
      </c>
      <c r="AH12" s="29">
        <f t="shared" si="9"/>
        <v>450886.78612903226</v>
      </c>
      <c r="AI12" s="29">
        <f t="shared" si="10"/>
        <v>-53406.00767741935</v>
      </c>
      <c r="AJ12" s="29">
        <f t="shared" si="11"/>
        <v>0</v>
      </c>
      <c r="AK12" s="33">
        <f t="shared" si="12"/>
        <v>20355568.5</v>
      </c>
      <c r="AL12" s="32">
        <f t="shared" si="13"/>
        <v>1457.662260285</v>
      </c>
      <c r="AM12" s="68">
        <v>31.11</v>
      </c>
      <c r="AN12" s="29">
        <f>AL12*AM12</f>
        <v>45347.872917466346</v>
      </c>
      <c r="AO12" s="67">
        <f t="shared" si="3"/>
        <v>0.7894092343139357</v>
      </c>
      <c r="AP12" s="88">
        <f>AO12*S12</f>
        <v>153320.57093902878</v>
      </c>
      <c r="AQ12" s="88">
        <f>AO12*V12</f>
        <v>268530.0285303562</v>
      </c>
      <c r="AR12" s="88">
        <f>AO12*Y12</f>
        <v>16792.253007607917</v>
      </c>
      <c r="AS12" s="88">
        <f>AO12*AB12</f>
        <v>65562.79652535613</v>
      </c>
      <c r="AT12" s="88">
        <f>AO12*AE12</f>
        <v>40155.38762688849</v>
      </c>
      <c r="AU12" s="87">
        <f>AH12*AO12</f>
        <v>355934.19260039064</v>
      </c>
      <c r="AV12" s="87">
        <f>AI12*AO12</f>
        <v>-42159.195628395784</v>
      </c>
      <c r="AW12" s="87">
        <f>AJ12*AO12</f>
        <v>0</v>
      </c>
      <c r="AX12" s="87">
        <f>AN12*AO12</f>
        <v>35798.02963754277</v>
      </c>
      <c r="AY12" s="67">
        <f t="shared" si="4"/>
        <v>0.5820091045650384</v>
      </c>
      <c r="AZ12" s="88">
        <f>AY12*S12</f>
        <v>113038.92116384546</v>
      </c>
      <c r="BA12" s="88">
        <f>AY12*V12</f>
        <v>197979.5962098208</v>
      </c>
      <c r="BB12" s="88">
        <f>AY12*Y12</f>
        <v>12380.453270325934</v>
      </c>
      <c r="BC12" s="88">
        <f>AY12*AB12</f>
        <v>48337.59581196821</v>
      </c>
      <c r="BD12" s="88">
        <f>AY12*AE12</f>
        <v>29605.4317333881</v>
      </c>
      <c r="BE12" s="87">
        <f>AH12*AY12</f>
        <v>262420.214655166</v>
      </c>
      <c r="BF12" s="87">
        <f>AI12*AY12</f>
        <v>-31082.7827067284</v>
      </c>
      <c r="BG12" s="87">
        <f>AJ12*AY12</f>
        <v>0</v>
      </c>
      <c r="BH12" s="87">
        <f>AN12*AY12</f>
        <v>26392.874910623745</v>
      </c>
      <c r="BI12" s="88">
        <f>500000</f>
        <v>500000</v>
      </c>
      <c r="BJ12" s="91">
        <f>BI12*AO12</f>
        <v>394704.61715696787</v>
      </c>
      <c r="BK12" s="92">
        <f>BI12*AY12</f>
        <v>291004.55228251923</v>
      </c>
      <c r="BL12" s="88">
        <f>500</f>
        <v>500</v>
      </c>
      <c r="BM12" s="97">
        <f t="shared" si="14"/>
        <v>394.70461715696786</v>
      </c>
      <c r="BN12" s="96">
        <f t="shared" si="15"/>
        <v>291.0045522825192</v>
      </c>
    </row>
    <row r="13" spans="1:66" s="60" customFormat="1" ht="15.75" thickBot="1">
      <c r="A13" s="223">
        <v>2024</v>
      </c>
      <c r="B13" s="18">
        <v>9</v>
      </c>
      <c r="C13" s="242">
        <f>ROUNDDOWN($D$42*1.01^(A13-A$9),0)-$D$39</f>
        <v>136063</v>
      </c>
      <c r="D13" s="259">
        <f t="shared" si="5"/>
        <v>0</v>
      </c>
      <c r="E13" s="49">
        <f t="shared" si="1"/>
        <v>1413694.5699999998</v>
      </c>
      <c r="F13" s="50">
        <f t="shared" si="2"/>
        <v>0</v>
      </c>
      <c r="G13" s="260">
        <f>'VMT Multipliers'!W$21</f>
        <v>0.14312195121951218</v>
      </c>
      <c r="H13" s="260">
        <f>'VMT Multipliers'!X$21</f>
        <v>0.25066787456445994</v>
      </c>
      <c r="I13" s="260">
        <f>'VMT Multipliers'!Y$21</f>
        <v>0.015675261324041814</v>
      </c>
      <c r="J13" s="260">
        <f>'VMT Multipliers'!Z$21</f>
        <v>0.061201672473867604</v>
      </c>
      <c r="K13" s="260">
        <f>'VMT Multipliers'!AA$21</f>
        <v>0.03748432055749129</v>
      </c>
      <c r="L13" s="261">
        <f>'VMT Multipliers'!W$20</f>
        <v>0.0013630662020905925</v>
      </c>
      <c r="M13" s="261">
        <f>'VMT Multipliers'!X$20</f>
        <v>0.10495609756097561</v>
      </c>
      <c r="N13" s="261">
        <f>'VMT Multipliers'!Y$20</f>
        <v>0.01622048780487805</v>
      </c>
      <c r="O13" s="261">
        <f>'VMT Multipliers'!Z$20</f>
        <v>0.01812878048780488</v>
      </c>
      <c r="P13" s="261">
        <f>'VMT Multipliers'!AA$20</f>
        <v>0.0012267595818815332</v>
      </c>
      <c r="Q13" s="143">
        <f>E13*G13</f>
        <v>202330.72528682923</v>
      </c>
      <c r="R13" s="144">
        <f t="shared" si="6"/>
        <v>0</v>
      </c>
      <c r="S13" s="145">
        <f>SUM(Q13:R13)</f>
        <v>202330.72528682923</v>
      </c>
      <c r="T13" s="143">
        <f>E13*H13</f>
        <v>354367.81314521807</v>
      </c>
      <c r="U13" s="144">
        <f>F13*M13</f>
        <v>0</v>
      </c>
      <c r="V13" s="145">
        <f>SUM(T13:U13)</f>
        <v>354367.81314521807</v>
      </c>
      <c r="W13" s="143">
        <f>E13*I13</f>
        <v>22160.03181712892</v>
      </c>
      <c r="X13" s="144">
        <f>F13*N13</f>
        <v>0</v>
      </c>
      <c r="Y13" s="145">
        <f>SUM(W13:X13)</f>
        <v>22160.03181712892</v>
      </c>
      <c r="Z13" s="143">
        <f>E13*J13</f>
        <v>86520.4720512251</v>
      </c>
      <c r="AA13" s="144">
        <f>F13*O13</f>
        <v>0</v>
      </c>
      <c r="AB13" s="145">
        <f>SUM(Z13:AA13)</f>
        <v>86520.4720512251</v>
      </c>
      <c r="AC13" s="143">
        <f>E13*K13</f>
        <v>52991.38043226481</v>
      </c>
      <c r="AD13" s="144">
        <f>F13*P13</f>
        <v>0</v>
      </c>
      <c r="AE13" s="145">
        <f>SUM(AC13:AD13)</f>
        <v>52991.38043226481</v>
      </c>
      <c r="AF13" s="248">
        <f t="shared" si="7"/>
        <v>228015.25322580643</v>
      </c>
      <c r="AG13" s="248">
        <f t="shared" si="8"/>
        <v>0</v>
      </c>
      <c r="AH13" s="262">
        <f t="shared" si="9"/>
        <v>469711.4216451613</v>
      </c>
      <c r="AI13" s="262">
        <f t="shared" si="10"/>
        <v>-55635.721787096765</v>
      </c>
      <c r="AJ13" s="262">
        <f t="shared" si="11"/>
        <v>0</v>
      </c>
      <c r="AK13" s="263">
        <f t="shared" si="12"/>
        <v>21205418.549999997</v>
      </c>
      <c r="AL13" s="264">
        <f t="shared" si="13"/>
        <v>1518.5200223654997</v>
      </c>
      <c r="AM13" s="265">
        <v>31.68</v>
      </c>
      <c r="AN13" s="262">
        <f>AL13*AM13</f>
        <v>48106.71430853903</v>
      </c>
      <c r="AO13" s="266">
        <f t="shared" si="3"/>
        <v>0.766416732343627</v>
      </c>
      <c r="AP13" s="152">
        <f>AO13*S13</f>
        <v>155069.6533270477</v>
      </c>
      <c r="AQ13" s="152">
        <f>AO13*V13</f>
        <v>271593.421398515</v>
      </c>
      <c r="AR13" s="152">
        <f>AO13*Y13</f>
        <v>16983.81917391475</v>
      </c>
      <c r="AS13" s="152">
        <f>AO13*AB13</f>
        <v>66310.73747032804</v>
      </c>
      <c r="AT13" s="152">
        <f>AO13*AE13</f>
        <v>40613.480633274405</v>
      </c>
      <c r="AU13" s="229">
        <f>AH13*AO13</f>
        <v>359994.6929217641</v>
      </c>
      <c r="AV13" s="229">
        <f>AI13*AO13</f>
        <v>-42640.14809364584</v>
      </c>
      <c r="AW13" s="229">
        <f>AJ13*AO13</f>
        <v>0</v>
      </c>
      <c r="AX13" s="229">
        <f>AN13*AO13</f>
        <v>36869.79078413889</v>
      </c>
      <c r="AY13" s="266">
        <f t="shared" si="4"/>
        <v>0.5439337425841481</v>
      </c>
      <c r="AZ13" s="152">
        <f>AY13*S13</f>
        <v>110054.50864503015</v>
      </c>
      <c r="BA13" s="152">
        <f>AY13*V13</f>
        <v>192752.6108554385</v>
      </c>
      <c r="BB13" s="152">
        <f>AY13*Y13</f>
        <v>12053.589042074731</v>
      </c>
      <c r="BC13" s="152">
        <f>AY13*AB13</f>
        <v>47061.40417297005</v>
      </c>
      <c r="BD13" s="152">
        <f>AY13*AE13</f>
        <v>28823.799883222186</v>
      </c>
      <c r="BE13" s="229">
        <f>AH13*AY13</f>
        <v>255491.8915099734</v>
      </c>
      <c r="BF13" s="229">
        <f>AI13*AY13</f>
        <v>-30262.14637302597</v>
      </c>
      <c r="BG13" s="229">
        <f>AJ13*AY13</f>
        <v>0</v>
      </c>
      <c r="BH13" s="229">
        <f>AN13*AY13</f>
        <v>26166.86515727002</v>
      </c>
      <c r="BI13" s="152">
        <f>500000</f>
        <v>500000</v>
      </c>
      <c r="BJ13" s="143">
        <f>BI13*AO13</f>
        <v>383208.36617181345</v>
      </c>
      <c r="BK13" s="153">
        <f>BI13*AY13</f>
        <v>271966.87129207404</v>
      </c>
      <c r="BL13" s="152">
        <f>500</f>
        <v>500</v>
      </c>
      <c r="BM13" s="267">
        <f t="shared" si="14"/>
        <v>383.20836617181345</v>
      </c>
      <c r="BN13" s="268">
        <f t="shared" si="15"/>
        <v>271.966871292074</v>
      </c>
    </row>
    <row r="14" spans="1:66" s="64" customFormat="1" ht="15">
      <c r="A14" s="72">
        <v>2025</v>
      </c>
      <c r="B14" s="200">
        <v>10</v>
      </c>
      <c r="C14" s="167">
        <f aca="true" t="shared" si="16" ref="C14:C19">ROUNDDOWN($D$42*1.01^(A14-A$9),0)</f>
        <v>556271</v>
      </c>
      <c r="D14" s="168">
        <f t="shared" si="5"/>
        <v>0</v>
      </c>
      <c r="E14" s="51">
        <f t="shared" si="1"/>
        <v>5779655.6899999995</v>
      </c>
      <c r="F14" s="52">
        <f t="shared" si="2"/>
        <v>0</v>
      </c>
      <c r="G14" s="169">
        <f>'VMT Multipliers'!W$21</f>
        <v>0.14312195121951218</v>
      </c>
      <c r="H14" s="169">
        <f>'VMT Multipliers'!X$21</f>
        <v>0.25066787456445994</v>
      </c>
      <c r="I14" s="169">
        <f>'VMT Multipliers'!Y$21</f>
        <v>0.015675261324041814</v>
      </c>
      <c r="J14" s="169">
        <f>'VMT Multipliers'!Z$21</f>
        <v>0.061201672473867604</v>
      </c>
      <c r="K14" s="169">
        <f>'VMT Multipliers'!AA$21</f>
        <v>0.03748432055749129</v>
      </c>
      <c r="L14" s="170">
        <f>'VMT Multipliers'!W$20</f>
        <v>0.0013630662020905925</v>
      </c>
      <c r="M14" s="170">
        <f>'VMT Multipliers'!X$20</f>
        <v>0.10495609756097561</v>
      </c>
      <c r="N14" s="170">
        <f>'VMT Multipliers'!Y$20</f>
        <v>0.01622048780487805</v>
      </c>
      <c r="O14" s="170">
        <f>'VMT Multipliers'!Z$20</f>
        <v>0.01812878048780488</v>
      </c>
      <c r="P14" s="170">
        <f>'VMT Multipliers'!AA$20</f>
        <v>0.0012267595818815332</v>
      </c>
      <c r="Q14" s="95">
        <f aca="true" t="shared" si="17" ref="Q14:Q34">E14*G14</f>
        <v>827195.599729756</v>
      </c>
      <c r="R14" s="24">
        <f t="shared" si="6"/>
        <v>0</v>
      </c>
      <c r="S14" s="25">
        <f aca="true" t="shared" si="18" ref="S14:S34">SUM(Q14:R14)</f>
        <v>827195.599729756</v>
      </c>
      <c r="T14" s="95">
        <f aca="true" t="shared" si="19" ref="T14:T34">E14*H14</f>
        <v>1448774.007526687</v>
      </c>
      <c r="U14" s="24">
        <f aca="true" t="shared" si="20" ref="U14:U34">F14*M14</f>
        <v>0</v>
      </c>
      <c r="V14" s="25">
        <f aca="true" t="shared" si="21" ref="V14:V34">SUM(T14:U14)</f>
        <v>1448774.007526687</v>
      </c>
      <c r="W14" s="95">
        <f aca="true" t="shared" si="22" ref="W14:W34">E14*I14</f>
        <v>90597.6133037352</v>
      </c>
      <c r="X14" s="24">
        <f aca="true" t="shared" si="23" ref="X14:X34">F14*N14</f>
        <v>0</v>
      </c>
      <c r="Y14" s="25">
        <f aca="true" t="shared" si="24" ref="Y14:Y34">SUM(W14:X14)</f>
        <v>90597.6133037352</v>
      </c>
      <c r="Z14" s="95">
        <f aca="true" t="shared" si="25" ref="Z14:Z34">E14*J14</f>
        <v>353724.5945511052</v>
      </c>
      <c r="AA14" s="24">
        <f aca="true" t="shared" si="26" ref="AA14:AA34">F14*O14</f>
        <v>0</v>
      </c>
      <c r="AB14" s="25">
        <f aca="true" t="shared" si="27" ref="AB14:AB34">SUM(Z14:AA14)</f>
        <v>353724.5945511052</v>
      </c>
      <c r="AC14" s="95">
        <f aca="true" t="shared" si="28" ref="AC14:AC34">E14*K14</f>
        <v>216646.4665958885</v>
      </c>
      <c r="AD14" s="24">
        <f aca="true" t="shared" si="29" ref="AD14:AD34">F14*P14</f>
        <v>0</v>
      </c>
      <c r="AE14" s="25">
        <f aca="true" t="shared" si="30" ref="AE14:AE34">SUM(AC14:AD14)</f>
        <v>216646.4665958885</v>
      </c>
      <c r="AF14" s="20">
        <f t="shared" si="7"/>
        <v>932202.5306451612</v>
      </c>
      <c r="AG14" s="20">
        <f t="shared" si="8"/>
        <v>0</v>
      </c>
      <c r="AH14" s="29">
        <f t="shared" si="9"/>
        <v>1920337.2131290322</v>
      </c>
      <c r="AI14" s="29">
        <f t="shared" si="10"/>
        <v>-227457.4174774193</v>
      </c>
      <c r="AJ14" s="29">
        <f t="shared" si="11"/>
        <v>0</v>
      </c>
      <c r="AK14" s="33">
        <f t="shared" si="12"/>
        <v>86694835.35</v>
      </c>
      <c r="AL14" s="32">
        <f t="shared" si="13"/>
        <v>6208.2171594135</v>
      </c>
      <c r="AM14" s="68">
        <v>32.25</v>
      </c>
      <c r="AN14" s="29">
        <f aca="true" t="shared" si="31" ref="AN14:AN34">AL14*AM14</f>
        <v>200215.00339108537</v>
      </c>
      <c r="AO14" s="67">
        <f t="shared" si="3"/>
        <v>0.7440939148967252</v>
      </c>
      <c r="AP14" s="87">
        <f aca="true" t="shared" si="32" ref="AP14:AP34">AO14*S14</f>
        <v>615511.2121882587</v>
      </c>
      <c r="AQ14" s="87">
        <f aca="true" t="shared" si="33" ref="AQ14:AQ34">AO14*V14</f>
        <v>1078023.9230611501</v>
      </c>
      <c r="AR14" s="87">
        <f aca="true" t="shared" si="34" ref="AR14:AR34">AO14*Y14</f>
        <v>67413.13276347595</v>
      </c>
      <c r="AS14" s="87">
        <f aca="true" t="shared" si="35" ref="AS14:AS34">AO14*AB14</f>
        <v>263204.3183547887</v>
      </c>
      <c r="AT14" s="87">
        <f aca="true" t="shared" si="36" ref="AT14:AT34">AO14*AE14</f>
        <v>161205.31747787725</v>
      </c>
      <c r="AU14" s="87">
        <f aca="true" t="shared" si="37" ref="AU14:AU34">AH14*AO14</f>
        <v>1428911.2348390485</v>
      </c>
      <c r="AV14" s="87">
        <f aca="true" t="shared" si="38" ref="AV14:AV34">AI14*AO14</f>
        <v>-169249.68024307172</v>
      </c>
      <c r="AW14" s="87">
        <f aca="true" t="shared" si="39" ref="AW14:AW34">AJ14*AO14</f>
        <v>0</v>
      </c>
      <c r="AX14" s="87">
        <f aca="true" t="shared" si="40" ref="AX14:AX34">AN14*AO14</f>
        <v>148978.76569433382</v>
      </c>
      <c r="AY14" s="67">
        <f t="shared" si="4"/>
        <v>0.5083492921347178</v>
      </c>
      <c r="AZ14" s="87">
        <f aca="true" t="shared" si="41" ref="AZ14:AZ34">AY14*S14</f>
        <v>420504.2975795748</v>
      </c>
      <c r="BA14" s="87">
        <f aca="true" t="shared" si="42" ref="BA14:BA34">AY14*V14</f>
        <v>736483.2411893697</v>
      </c>
      <c r="BB14" s="87">
        <f aca="true" t="shared" si="43" ref="BB14:BB34">AY14*Y14</f>
        <v>46055.23259204868</v>
      </c>
      <c r="BC14" s="87">
        <f aca="true" t="shared" si="44" ref="BC14:BC34">AY14*AB14</f>
        <v>179815.6472506944</v>
      </c>
      <c r="BD14" s="87">
        <f aca="true" t="shared" si="45" ref="BD14:BD34">AY14*AE14</f>
        <v>110132.0779375077</v>
      </c>
      <c r="BE14" s="87">
        <f aca="true" t="shared" si="46" ref="BE14:BE34">AH14*AY14</f>
        <v>976202.0629541002</v>
      </c>
      <c r="BF14" s="87">
        <f aca="true" t="shared" si="47" ref="BF14:BF34">AI14*AY14</f>
        <v>-115627.8171654371</v>
      </c>
      <c r="BG14" s="87">
        <f aca="true" t="shared" si="48" ref="BG14:BG34">AJ14*AY14</f>
        <v>0</v>
      </c>
      <c r="BH14" s="87">
        <f aca="true" t="shared" si="49" ref="BH14:BH34">AN14*AY14</f>
        <v>101779.15524860837</v>
      </c>
      <c r="BI14" s="87"/>
      <c r="BJ14" s="95"/>
      <c r="BK14" s="96"/>
      <c r="BL14" s="87">
        <v>1000</v>
      </c>
      <c r="BM14" s="97">
        <f t="shared" si="14"/>
        <v>744.0939148967252</v>
      </c>
      <c r="BN14" s="96">
        <f t="shared" si="15"/>
        <v>508.3492921347178</v>
      </c>
    </row>
    <row r="15" spans="1:66" s="60" customFormat="1" ht="15">
      <c r="A15" s="71">
        <v>2026</v>
      </c>
      <c r="B15" s="15">
        <v>11</v>
      </c>
      <c r="C15" s="167">
        <f t="shared" si="16"/>
        <v>561833</v>
      </c>
      <c r="D15" s="108">
        <f t="shared" si="5"/>
        <v>0</v>
      </c>
      <c r="E15" s="51">
        <f t="shared" si="1"/>
        <v>5837444.869999999</v>
      </c>
      <c r="F15" s="52">
        <f t="shared" si="2"/>
        <v>0</v>
      </c>
      <c r="G15" s="120">
        <f>'VMT Multipliers'!W$21</f>
        <v>0.14312195121951218</v>
      </c>
      <c r="H15" s="120">
        <f>'VMT Multipliers'!X$21</f>
        <v>0.25066787456445994</v>
      </c>
      <c r="I15" s="120">
        <f>'VMT Multipliers'!Y$21</f>
        <v>0.015675261324041814</v>
      </c>
      <c r="J15" s="120">
        <f>'VMT Multipliers'!Z$21</f>
        <v>0.061201672473867604</v>
      </c>
      <c r="K15" s="120">
        <f>'VMT Multipliers'!AA$21</f>
        <v>0.03748432055749129</v>
      </c>
      <c r="L15" s="118">
        <f>'VMT Multipliers'!W$20</f>
        <v>0.0013630662020905925</v>
      </c>
      <c r="M15" s="118">
        <f>'VMT Multipliers'!X$20</f>
        <v>0.10495609756097561</v>
      </c>
      <c r="N15" s="118">
        <f>'VMT Multipliers'!Y$20</f>
        <v>0.01622048780487805</v>
      </c>
      <c r="O15" s="118">
        <f>'VMT Multipliers'!Z$20</f>
        <v>0.01812878048780488</v>
      </c>
      <c r="P15" s="118">
        <f>'VMT Multipliers'!AA$20</f>
        <v>0.0012267595818815332</v>
      </c>
      <c r="Q15" s="95">
        <f t="shared" si="17"/>
        <v>835466.4999307315</v>
      </c>
      <c r="R15" s="24">
        <f aca="true" t="shared" si="50" ref="R15:R34">F15*L15</f>
        <v>0</v>
      </c>
      <c r="S15" s="25">
        <f t="shared" si="18"/>
        <v>835466.4999307315</v>
      </c>
      <c r="T15" s="95">
        <f t="shared" si="19"/>
        <v>1463259.8984501099</v>
      </c>
      <c r="U15" s="24">
        <f t="shared" si="20"/>
        <v>0</v>
      </c>
      <c r="V15" s="25">
        <f t="shared" si="21"/>
        <v>1463259.8984501099</v>
      </c>
      <c r="W15" s="95">
        <f t="shared" si="22"/>
        <v>91503.47380193727</v>
      </c>
      <c r="X15" s="24">
        <f t="shared" si="23"/>
        <v>0</v>
      </c>
      <c r="Y15" s="25">
        <f t="shared" si="24"/>
        <v>91503.47380193727</v>
      </c>
      <c r="Z15" s="95">
        <f t="shared" si="25"/>
        <v>357261.3890179986</v>
      </c>
      <c r="AA15" s="24">
        <f t="shared" si="26"/>
        <v>0</v>
      </c>
      <c r="AB15" s="25">
        <f t="shared" si="27"/>
        <v>357261.3890179986</v>
      </c>
      <c r="AC15" s="95">
        <f t="shared" si="28"/>
        <v>218812.65474376304</v>
      </c>
      <c r="AD15" s="24">
        <f t="shared" si="29"/>
        <v>0</v>
      </c>
      <c r="AE15" s="25">
        <f t="shared" si="30"/>
        <v>218812.65474376304</v>
      </c>
      <c r="AF15" s="20">
        <f aca="true" t="shared" si="51" ref="AF15:AF34">E15/$AE$38</f>
        <v>941523.3661290321</v>
      </c>
      <c r="AG15" s="20">
        <f aca="true" t="shared" si="52" ref="AG15:AG34">F15/$AE$39</f>
        <v>0</v>
      </c>
      <c r="AH15" s="29">
        <f aca="true" t="shared" si="53" ref="AH15:AH34">(AF15+AG15)*$AE$40</f>
        <v>1939538.1342258062</v>
      </c>
      <c r="AI15" s="29">
        <f aca="true" t="shared" si="54" ref="AI15:AI34">-1*AF15*$AH$38</f>
        <v>-229731.70133548384</v>
      </c>
      <c r="AJ15" s="29">
        <f aca="true" t="shared" si="55" ref="AJ15:AJ34">-1*AG15*$AH$39</f>
        <v>0</v>
      </c>
      <c r="AK15" s="33">
        <f aca="true" t="shared" si="56" ref="AK15:AK34">(E15*$AK$38)</f>
        <v>87561673.04999998</v>
      </c>
      <c r="AL15" s="32">
        <f aca="true" t="shared" si="57" ref="AL15:AL34">$AK$39*AK15/1000000</f>
        <v>6270.291407110499</v>
      </c>
      <c r="AM15" s="68">
        <v>32.82</v>
      </c>
      <c r="AN15" s="29">
        <f t="shared" si="31"/>
        <v>205790.96398136657</v>
      </c>
      <c r="AO15" s="67">
        <f t="shared" si="3"/>
        <v>0.7224212765987623</v>
      </c>
      <c r="AP15" s="87">
        <f t="shared" si="32"/>
        <v>603558.7754354589</v>
      </c>
      <c r="AQ15" s="87">
        <f t="shared" si="33"/>
        <v>1057090.0838341038</v>
      </c>
      <c r="AR15" s="87">
        <f t="shared" si="34"/>
        <v>66104.05635721693</v>
      </c>
      <c r="AS15" s="87">
        <f t="shared" si="35"/>
        <v>258093.22873382957</v>
      </c>
      <c r="AT15" s="87">
        <f t="shared" si="36"/>
        <v>158074.91737595352</v>
      </c>
      <c r="AU15" s="86">
        <f t="shared" si="37"/>
        <v>1401163.6149393886</v>
      </c>
      <c r="AV15" s="86">
        <f t="shared" si="38"/>
        <v>-165963.0689539858</v>
      </c>
      <c r="AW15" s="86">
        <f t="shared" si="39"/>
        <v>0</v>
      </c>
      <c r="AX15" s="86">
        <f t="shared" si="40"/>
        <v>148667.77091190877</v>
      </c>
      <c r="AY15" s="67">
        <f t="shared" si="4"/>
        <v>0.47509279638758667</v>
      </c>
      <c r="AZ15" s="87">
        <f t="shared" si="41"/>
        <v>396924.1157402407</v>
      </c>
      <c r="BA15" s="87">
        <f t="shared" si="42"/>
        <v>695184.2369964788</v>
      </c>
      <c r="BB15" s="87">
        <f t="shared" si="43"/>
        <v>43472.641247740656</v>
      </c>
      <c r="BC15" s="87">
        <f t="shared" si="44"/>
        <v>169732.3123498744</v>
      </c>
      <c r="BD15" s="87">
        <f t="shared" si="45"/>
        <v>103956.31602720592</v>
      </c>
      <c r="BE15" s="86">
        <f t="shared" si="46"/>
        <v>921460.5958897007</v>
      </c>
      <c r="BF15" s="86">
        <f t="shared" si="47"/>
        <v>-109143.8764063529</v>
      </c>
      <c r="BG15" s="86">
        <f t="shared" si="48"/>
        <v>0</v>
      </c>
      <c r="BH15" s="86">
        <f t="shared" si="49"/>
        <v>97769.80454920456</v>
      </c>
      <c r="BI15" s="87"/>
      <c r="BJ15" s="95"/>
      <c r="BK15" s="96"/>
      <c r="BL15" s="87">
        <v>1000</v>
      </c>
      <c r="BM15" s="97">
        <f t="shared" si="14"/>
        <v>722.4212765987623</v>
      </c>
      <c r="BN15" s="96">
        <f t="shared" si="15"/>
        <v>475.09279638758665</v>
      </c>
    </row>
    <row r="16" spans="1:66" s="60" customFormat="1" ht="15">
      <c r="A16" s="72">
        <v>2027</v>
      </c>
      <c r="B16" s="200">
        <v>12</v>
      </c>
      <c r="C16" s="167">
        <f t="shared" si="16"/>
        <v>567452</v>
      </c>
      <c r="D16" s="108">
        <f t="shared" si="5"/>
        <v>0</v>
      </c>
      <c r="E16" s="47">
        <f t="shared" si="1"/>
        <v>5895826.279999999</v>
      </c>
      <c r="F16" s="48">
        <f t="shared" si="2"/>
        <v>0</v>
      </c>
      <c r="G16" s="120">
        <f>'VMT Multipliers'!W$21</f>
        <v>0.14312195121951218</v>
      </c>
      <c r="H16" s="120">
        <f>'VMT Multipliers'!X$21</f>
        <v>0.25066787456445994</v>
      </c>
      <c r="I16" s="120">
        <f>'VMT Multipliers'!Y$21</f>
        <v>0.015675261324041814</v>
      </c>
      <c r="J16" s="120">
        <f>'VMT Multipliers'!Z$21</f>
        <v>0.061201672473867604</v>
      </c>
      <c r="K16" s="120">
        <f>'VMT Multipliers'!AA$21</f>
        <v>0.03748432055749129</v>
      </c>
      <c r="L16" s="118">
        <f>'VMT Multipliers'!W$20</f>
        <v>0.0013630662020905925</v>
      </c>
      <c r="M16" s="118">
        <f>'VMT Multipliers'!X$20</f>
        <v>0.10495609756097561</v>
      </c>
      <c r="N16" s="118">
        <f>'VMT Multipliers'!Y$20</f>
        <v>0.01622048780487805</v>
      </c>
      <c r="O16" s="118">
        <f>'VMT Multipliers'!Z$20</f>
        <v>0.01812878048780488</v>
      </c>
      <c r="P16" s="118">
        <f>'VMT Multipliers'!AA$20</f>
        <v>0.0012267595818815332</v>
      </c>
      <c r="Q16" s="26">
        <f t="shared" si="17"/>
        <v>843822.1612448778</v>
      </c>
      <c r="R16" s="27">
        <f t="shared" si="50"/>
        <v>0</v>
      </c>
      <c r="S16" s="28">
        <f t="shared" si="18"/>
        <v>843822.1612448778</v>
      </c>
      <c r="T16" s="26">
        <f t="shared" si="19"/>
        <v>1477894.2424088863</v>
      </c>
      <c r="U16" s="27">
        <f t="shared" si="20"/>
        <v>0</v>
      </c>
      <c r="V16" s="28">
        <f t="shared" si="21"/>
        <v>1477894.2424088863</v>
      </c>
      <c r="W16" s="26">
        <f t="shared" si="22"/>
        <v>92418.61766015331</v>
      </c>
      <c r="X16" s="27">
        <f t="shared" si="23"/>
        <v>0</v>
      </c>
      <c r="Y16" s="28">
        <f t="shared" si="24"/>
        <v>92418.61766015331</v>
      </c>
      <c r="Z16" s="26">
        <f t="shared" si="25"/>
        <v>360834.4289513812</v>
      </c>
      <c r="AA16" s="27">
        <f t="shared" si="26"/>
        <v>0</v>
      </c>
      <c r="AB16" s="28">
        <f t="shared" si="27"/>
        <v>360834.4289513812</v>
      </c>
      <c r="AC16" s="26">
        <f t="shared" si="28"/>
        <v>221001.04223080137</v>
      </c>
      <c r="AD16" s="27">
        <f t="shared" si="29"/>
        <v>0</v>
      </c>
      <c r="AE16" s="28">
        <f t="shared" si="30"/>
        <v>221001.04223080137</v>
      </c>
      <c r="AF16" s="20">
        <f t="shared" si="51"/>
        <v>950939.722580645</v>
      </c>
      <c r="AG16" s="20">
        <f t="shared" si="52"/>
        <v>0</v>
      </c>
      <c r="AH16" s="29">
        <f t="shared" si="53"/>
        <v>1958935.8285161287</v>
      </c>
      <c r="AI16" s="29">
        <f t="shared" si="54"/>
        <v>-232029.29230967737</v>
      </c>
      <c r="AJ16" s="29">
        <f t="shared" si="55"/>
        <v>0</v>
      </c>
      <c r="AK16" s="33">
        <f t="shared" si="56"/>
        <v>88437394.19999999</v>
      </c>
      <c r="AL16" s="32">
        <f t="shared" si="57"/>
        <v>6333.001798661999</v>
      </c>
      <c r="AM16" s="68">
        <v>33.39</v>
      </c>
      <c r="AN16" s="29">
        <f t="shared" si="31"/>
        <v>211458.93005732415</v>
      </c>
      <c r="AO16" s="67">
        <f t="shared" si="3"/>
        <v>0.7013798801929733</v>
      </c>
      <c r="AP16" s="31">
        <f t="shared" si="32"/>
        <v>591839.8863581081</v>
      </c>
      <c r="AQ16" s="31">
        <f t="shared" si="33"/>
        <v>1036565.2866786297</v>
      </c>
      <c r="AR16" s="31">
        <f t="shared" si="34"/>
        <v>64820.55898207853</v>
      </c>
      <c r="AS16" s="31">
        <f t="shared" si="35"/>
        <v>253082.00854741965</v>
      </c>
      <c r="AT16" s="31">
        <f t="shared" si="36"/>
        <v>155005.6845223617</v>
      </c>
      <c r="AU16" s="86">
        <f t="shared" si="37"/>
        <v>1373958.176710365</v>
      </c>
      <c r="AV16" s="86">
        <f t="shared" si="38"/>
        <v>-162740.6772414219</v>
      </c>
      <c r="AW16" s="86">
        <f t="shared" si="39"/>
        <v>0</v>
      </c>
      <c r="AX16" s="86">
        <f t="shared" si="40"/>
        <v>148313.03902934032</v>
      </c>
      <c r="AY16" s="67">
        <f t="shared" si="4"/>
        <v>0.4440119592407353</v>
      </c>
      <c r="AZ16" s="31">
        <f t="shared" si="41"/>
        <v>374667.13106508984</v>
      </c>
      <c r="BA16" s="31">
        <f t="shared" si="42"/>
        <v>656202.7181225718</v>
      </c>
      <c r="BB16" s="31">
        <f t="shared" si="43"/>
        <v>41034.97149760509</v>
      </c>
      <c r="BC16" s="31">
        <f t="shared" si="44"/>
        <v>160214.80176021464</v>
      </c>
      <c r="BD16" s="31">
        <f t="shared" si="45"/>
        <v>98127.10575514259</v>
      </c>
      <c r="BE16" s="86">
        <f t="shared" si="46"/>
        <v>869790.9352463193</v>
      </c>
      <c r="BF16" s="86">
        <f t="shared" si="47"/>
        <v>-103023.78067966113</v>
      </c>
      <c r="BG16" s="86">
        <f t="shared" si="48"/>
        <v>0</v>
      </c>
      <c r="BH16" s="86">
        <f t="shared" si="49"/>
        <v>93890.2938337021</v>
      </c>
      <c r="BI16" s="88"/>
      <c r="BJ16" s="91"/>
      <c r="BK16" s="92"/>
      <c r="BL16" s="88">
        <v>1000</v>
      </c>
      <c r="BM16" s="97">
        <f t="shared" si="14"/>
        <v>701.3798801929732</v>
      </c>
      <c r="BN16" s="96">
        <f t="shared" si="15"/>
        <v>444.0119592407353</v>
      </c>
    </row>
    <row r="17" spans="1:66" s="60" customFormat="1" ht="15">
      <c r="A17" s="213">
        <v>2028</v>
      </c>
      <c r="B17" s="106">
        <v>13</v>
      </c>
      <c r="C17" s="214">
        <f t="shared" si="16"/>
        <v>573126</v>
      </c>
      <c r="D17" s="164">
        <f t="shared" si="5"/>
        <v>0</v>
      </c>
      <c r="E17" s="215">
        <f t="shared" si="1"/>
        <v>5954779.14</v>
      </c>
      <c r="F17" s="216">
        <f t="shared" si="2"/>
        <v>0</v>
      </c>
      <c r="G17" s="120">
        <f>'VMT Multipliers'!W$21</f>
        <v>0.14312195121951218</v>
      </c>
      <c r="H17" s="120">
        <f>'VMT Multipliers'!X$21</f>
        <v>0.25066787456445994</v>
      </c>
      <c r="I17" s="120">
        <f>'VMT Multipliers'!Y$21</f>
        <v>0.015675261324041814</v>
      </c>
      <c r="J17" s="120">
        <f>'VMT Multipliers'!Z$21</f>
        <v>0.061201672473867604</v>
      </c>
      <c r="K17" s="120">
        <f>'VMT Multipliers'!AA$21</f>
        <v>0.03748432055749129</v>
      </c>
      <c r="L17" s="118">
        <f>'VMT Multipliers'!W$20</f>
        <v>0.0013630662020905925</v>
      </c>
      <c r="M17" s="118">
        <f>'VMT Multipliers'!X$20</f>
        <v>0.10495609756097561</v>
      </c>
      <c r="N17" s="118">
        <f>'VMT Multipliers'!Y$20</f>
        <v>0.01622048780487805</v>
      </c>
      <c r="O17" s="118">
        <f>'VMT Multipliers'!Z$20</f>
        <v>0.01812878048780488</v>
      </c>
      <c r="P17" s="118">
        <f>'VMT Multipliers'!AA$20</f>
        <v>0.0012267595818815332</v>
      </c>
      <c r="Q17" s="128">
        <f t="shared" si="17"/>
        <v>852259.6095980486</v>
      </c>
      <c r="R17" s="129">
        <f t="shared" si="50"/>
        <v>0</v>
      </c>
      <c r="S17" s="130">
        <f t="shared" si="18"/>
        <v>852259.6095980486</v>
      </c>
      <c r="T17" s="128">
        <f t="shared" si="19"/>
        <v>1492671.8305245824</v>
      </c>
      <c r="U17" s="129">
        <f t="shared" si="20"/>
        <v>0</v>
      </c>
      <c r="V17" s="130">
        <f t="shared" si="21"/>
        <v>1492671.8305245824</v>
      </c>
      <c r="W17" s="128">
        <f t="shared" si="22"/>
        <v>93342.71914645296</v>
      </c>
      <c r="X17" s="129">
        <f t="shared" si="23"/>
        <v>0</v>
      </c>
      <c r="Y17" s="130">
        <f t="shared" si="24"/>
        <v>93342.71914645296</v>
      </c>
      <c r="Z17" s="128">
        <f t="shared" si="25"/>
        <v>364442.442580499</v>
      </c>
      <c r="AA17" s="129">
        <f t="shared" si="26"/>
        <v>0</v>
      </c>
      <c r="AB17" s="130">
        <f t="shared" si="27"/>
        <v>364442.442580499</v>
      </c>
      <c r="AC17" s="128">
        <f t="shared" si="28"/>
        <v>223210.8501328223</v>
      </c>
      <c r="AD17" s="129">
        <f t="shared" si="29"/>
        <v>0</v>
      </c>
      <c r="AE17" s="130">
        <f t="shared" si="30"/>
        <v>223210.8501328223</v>
      </c>
      <c r="AF17" s="131">
        <f t="shared" si="51"/>
        <v>960448.2483870967</v>
      </c>
      <c r="AG17" s="131">
        <f t="shared" si="52"/>
        <v>0</v>
      </c>
      <c r="AH17" s="132">
        <f t="shared" si="53"/>
        <v>1978523.3916774192</v>
      </c>
      <c r="AI17" s="132">
        <f t="shared" si="54"/>
        <v>-234349.3726064516</v>
      </c>
      <c r="AJ17" s="132">
        <f t="shared" si="55"/>
        <v>0</v>
      </c>
      <c r="AK17" s="133">
        <f t="shared" si="56"/>
        <v>89321687.1</v>
      </c>
      <c r="AL17" s="134">
        <f t="shared" si="57"/>
        <v>6396.326013231</v>
      </c>
      <c r="AM17" s="135">
        <v>33.96</v>
      </c>
      <c r="AN17" s="132">
        <f t="shared" si="31"/>
        <v>217219.23140932477</v>
      </c>
      <c r="AO17" s="75">
        <f t="shared" si="3"/>
        <v>0.6809513399931779</v>
      </c>
      <c r="AP17" s="136">
        <f t="shared" si="32"/>
        <v>580347.3231778538</v>
      </c>
      <c r="AQ17" s="136">
        <f t="shared" si="33"/>
        <v>1016436.8831657842</v>
      </c>
      <c r="AR17" s="136">
        <f t="shared" si="34"/>
        <v>63561.84968138401</v>
      </c>
      <c r="AS17" s="136">
        <f t="shared" si="35"/>
        <v>248167.5696255776</v>
      </c>
      <c r="AT17" s="136">
        <f t="shared" si="36"/>
        <v>151995.72749896176</v>
      </c>
      <c r="AU17" s="137">
        <f t="shared" si="37"/>
        <v>1347278.1547705857</v>
      </c>
      <c r="AV17" s="137">
        <f t="shared" si="38"/>
        <v>-159580.51930292376</v>
      </c>
      <c r="AW17" s="137">
        <f t="shared" si="39"/>
        <v>0</v>
      </c>
      <c r="AX17" s="137">
        <f t="shared" si="40"/>
        <v>147915.7267004679</v>
      </c>
      <c r="AY17" s="75">
        <f t="shared" si="4"/>
        <v>0.4149644478885376</v>
      </c>
      <c r="AZ17" s="136">
        <f t="shared" si="41"/>
        <v>353657.4383545548</v>
      </c>
      <c r="BA17" s="136">
        <f t="shared" si="42"/>
        <v>619405.742032406</v>
      </c>
      <c r="BB17" s="136">
        <f t="shared" si="43"/>
        <v>38733.90991502268</v>
      </c>
      <c r="BC17" s="136">
        <f t="shared" si="44"/>
        <v>151230.65697256682</v>
      </c>
      <c r="BD17" s="136">
        <f t="shared" si="45"/>
        <v>92624.56718809772</v>
      </c>
      <c r="BE17" s="137">
        <f t="shared" si="46"/>
        <v>821016.866861977</v>
      </c>
      <c r="BF17" s="137">
        <f t="shared" si="47"/>
        <v>-97246.65801666136</v>
      </c>
      <c r="BG17" s="137">
        <f t="shared" si="48"/>
        <v>0</v>
      </c>
      <c r="BH17" s="137">
        <f t="shared" si="49"/>
        <v>90138.25843254293</v>
      </c>
      <c r="BI17" s="136"/>
      <c r="BJ17" s="128"/>
      <c r="BK17" s="138"/>
      <c r="BL17" s="136">
        <v>1000</v>
      </c>
      <c r="BM17" s="139">
        <f t="shared" si="14"/>
        <v>680.951339993178</v>
      </c>
      <c r="BN17" s="140">
        <f t="shared" si="15"/>
        <v>414.96444788853756</v>
      </c>
    </row>
    <row r="18" spans="1:66" s="258" customFormat="1" ht="15">
      <c r="A18" s="71">
        <v>2029</v>
      </c>
      <c r="B18" s="15">
        <v>14</v>
      </c>
      <c r="C18" s="14">
        <f t="shared" si="16"/>
        <v>578858</v>
      </c>
      <c r="D18" s="15">
        <f t="shared" si="5"/>
        <v>0</v>
      </c>
      <c r="E18" s="47">
        <f t="shared" si="1"/>
        <v>6014334.619999999</v>
      </c>
      <c r="F18" s="48">
        <f t="shared" si="2"/>
        <v>0</v>
      </c>
      <c r="G18" s="249">
        <f>'VMT Multipliers'!W$21</f>
        <v>0.14312195121951218</v>
      </c>
      <c r="H18" s="249">
        <f>'VMT Multipliers'!X$21</f>
        <v>0.25066787456445994</v>
      </c>
      <c r="I18" s="249">
        <f>'VMT Multipliers'!Y$21</f>
        <v>0.015675261324041814</v>
      </c>
      <c r="J18" s="249">
        <f>'VMT Multipliers'!Z$21</f>
        <v>0.061201672473867604</v>
      </c>
      <c r="K18" s="249">
        <f>'VMT Multipliers'!AA$21</f>
        <v>0.03748432055749129</v>
      </c>
      <c r="L18" s="250">
        <f>'VMT Multipliers'!W$20</f>
        <v>0.0013630662020905925</v>
      </c>
      <c r="M18" s="250">
        <f>'VMT Multipliers'!X$20</f>
        <v>0.10495609756097561</v>
      </c>
      <c r="N18" s="250">
        <f>'VMT Multipliers'!Y$20</f>
        <v>0.01622048780487805</v>
      </c>
      <c r="O18" s="250">
        <f>'VMT Multipliers'!Z$20</f>
        <v>0.01812878048780488</v>
      </c>
      <c r="P18" s="250">
        <f>'VMT Multipliers'!AA$20</f>
        <v>0.0012267595818815332</v>
      </c>
      <c r="Q18" s="91">
        <f t="shared" si="17"/>
        <v>860783.3061014633</v>
      </c>
      <c r="R18" s="27">
        <f t="shared" si="50"/>
        <v>0</v>
      </c>
      <c r="S18" s="28">
        <f t="shared" si="18"/>
        <v>860783.3061014633</v>
      </c>
      <c r="T18" s="91">
        <f t="shared" si="19"/>
        <v>1507600.4761148486</v>
      </c>
      <c r="U18" s="27">
        <f t="shared" si="20"/>
        <v>0</v>
      </c>
      <c r="V18" s="28">
        <f t="shared" si="21"/>
        <v>1507600.4761148486</v>
      </c>
      <c r="W18" s="91">
        <f t="shared" si="22"/>
        <v>94276.2668587317</v>
      </c>
      <c r="X18" s="27">
        <f t="shared" si="23"/>
        <v>0</v>
      </c>
      <c r="Y18" s="28">
        <f t="shared" si="24"/>
        <v>94276.2668587317</v>
      </c>
      <c r="Z18" s="91">
        <f t="shared" si="25"/>
        <v>368087.3375614829</v>
      </c>
      <c r="AA18" s="27">
        <f t="shared" si="26"/>
        <v>0</v>
      </c>
      <c r="AB18" s="28">
        <f t="shared" si="27"/>
        <v>368087.3375614829</v>
      </c>
      <c r="AC18" s="91">
        <f t="shared" si="28"/>
        <v>225443.24683609753</v>
      </c>
      <c r="AD18" s="27">
        <f t="shared" si="29"/>
        <v>0</v>
      </c>
      <c r="AE18" s="28">
        <f t="shared" si="30"/>
        <v>225443.24683609753</v>
      </c>
      <c r="AF18" s="251">
        <f t="shared" si="51"/>
        <v>970053.9709677418</v>
      </c>
      <c r="AG18" s="251">
        <f t="shared" si="52"/>
        <v>0</v>
      </c>
      <c r="AH18" s="252">
        <f t="shared" si="53"/>
        <v>1998311.180193548</v>
      </c>
      <c r="AI18" s="252">
        <f t="shared" si="54"/>
        <v>-236693.16891612898</v>
      </c>
      <c r="AJ18" s="252">
        <f t="shared" si="55"/>
        <v>0</v>
      </c>
      <c r="AK18" s="253">
        <f t="shared" si="56"/>
        <v>90215019.29999998</v>
      </c>
      <c r="AL18" s="254">
        <f t="shared" si="57"/>
        <v>6460.297532072999</v>
      </c>
      <c r="AM18" s="255">
        <v>34.53</v>
      </c>
      <c r="AN18" s="252">
        <f t="shared" si="31"/>
        <v>223074.07378248067</v>
      </c>
      <c r="AO18" s="256">
        <f t="shared" si="3"/>
        <v>0.6611178058186192</v>
      </c>
      <c r="AP18" s="88">
        <f t="shared" si="32"/>
        <v>569079.1706150962</v>
      </c>
      <c r="AQ18" s="88">
        <f t="shared" si="33"/>
        <v>996701.5188201544</v>
      </c>
      <c r="AR18" s="88">
        <f t="shared" si="34"/>
        <v>62327.71868641531</v>
      </c>
      <c r="AS18" s="88">
        <f t="shared" si="35"/>
        <v>243349.092958265</v>
      </c>
      <c r="AT18" s="88">
        <f t="shared" si="36"/>
        <v>149044.54468490617</v>
      </c>
      <c r="AU18" s="88">
        <f t="shared" si="37"/>
        <v>1321119.1027923739</v>
      </c>
      <c r="AV18" s="88">
        <f t="shared" si="38"/>
        <v>-156482.068486087</v>
      </c>
      <c r="AW18" s="88">
        <f t="shared" si="39"/>
        <v>0</v>
      </c>
      <c r="AX18" s="88">
        <f t="shared" si="40"/>
        <v>147478.2421940944</v>
      </c>
      <c r="AY18" s="256">
        <f t="shared" si="4"/>
        <v>0.3878172410173249</v>
      </c>
      <c r="AZ18" s="88">
        <f t="shared" si="41"/>
        <v>333826.60688604094</v>
      </c>
      <c r="BA18" s="88">
        <f t="shared" si="42"/>
        <v>584673.457203266</v>
      </c>
      <c r="BB18" s="88">
        <f t="shared" si="43"/>
        <v>36561.96170656639</v>
      </c>
      <c r="BC18" s="88">
        <f t="shared" si="44"/>
        <v>142750.61570650706</v>
      </c>
      <c r="BD18" s="88">
        <f t="shared" si="45"/>
        <v>87430.7779939631</v>
      </c>
      <c r="BE18" s="88">
        <f t="shared" si="46"/>
        <v>774979.5285967363</v>
      </c>
      <c r="BF18" s="88">
        <f t="shared" si="47"/>
        <v>-91793.69173670078</v>
      </c>
      <c r="BG18" s="88">
        <f t="shared" si="48"/>
        <v>0</v>
      </c>
      <c r="BH18" s="88">
        <f t="shared" si="49"/>
        <v>86511.97183681683</v>
      </c>
      <c r="BI18" s="88"/>
      <c r="BJ18" s="91"/>
      <c r="BK18" s="92"/>
      <c r="BL18" s="88">
        <v>1000</v>
      </c>
      <c r="BM18" s="257">
        <f t="shared" si="14"/>
        <v>661.1178058186192</v>
      </c>
      <c r="BN18" s="92">
        <f t="shared" si="15"/>
        <v>387.8172410173249</v>
      </c>
    </row>
    <row r="19" spans="1:66" s="64" customFormat="1" ht="15">
      <c r="A19" s="72">
        <v>2030</v>
      </c>
      <c r="B19" s="202">
        <v>15</v>
      </c>
      <c r="C19" s="201">
        <f t="shared" si="16"/>
        <v>584646</v>
      </c>
      <c r="D19" s="202">
        <f t="shared" si="5"/>
        <v>0</v>
      </c>
      <c r="E19" s="51">
        <f t="shared" si="1"/>
        <v>6074471.9399999995</v>
      </c>
      <c r="F19" s="52">
        <f t="shared" si="2"/>
        <v>0</v>
      </c>
      <c r="G19" s="169">
        <f>'VMT Multipliers'!W$21</f>
        <v>0.14312195121951218</v>
      </c>
      <c r="H19" s="169">
        <f>'VMT Multipliers'!X$21</f>
        <v>0.25066787456445994</v>
      </c>
      <c r="I19" s="169">
        <f>'VMT Multipliers'!Y$21</f>
        <v>0.015675261324041814</v>
      </c>
      <c r="J19" s="169">
        <f>'VMT Multipliers'!Z$21</f>
        <v>0.061201672473867604</v>
      </c>
      <c r="K19" s="169">
        <f>'VMT Multipliers'!AA$21</f>
        <v>0.03748432055749129</v>
      </c>
      <c r="L19" s="170">
        <f>'VMT Multipliers'!W$20</f>
        <v>0.0013630662020905925</v>
      </c>
      <c r="M19" s="170">
        <f>'VMT Multipliers'!X$20</f>
        <v>0.10495609756097561</v>
      </c>
      <c r="N19" s="170">
        <f>'VMT Multipliers'!Y$20</f>
        <v>0.01622048780487805</v>
      </c>
      <c r="O19" s="170">
        <f>'VMT Multipliers'!Z$20</f>
        <v>0.01812878048780488</v>
      </c>
      <c r="P19" s="170">
        <f>'VMT Multipliers'!AA$20</f>
        <v>0.0012267595818815332</v>
      </c>
      <c r="Q19" s="95">
        <f t="shared" si="17"/>
        <v>869390.2766809755</v>
      </c>
      <c r="R19" s="24">
        <f t="shared" si="50"/>
        <v>0</v>
      </c>
      <c r="S19" s="25">
        <f t="shared" si="18"/>
        <v>869390.2766809755</v>
      </c>
      <c r="T19" s="95">
        <f t="shared" si="19"/>
        <v>1522674.9703012514</v>
      </c>
      <c r="U19" s="24">
        <f t="shared" si="20"/>
        <v>0</v>
      </c>
      <c r="V19" s="25">
        <f t="shared" si="21"/>
        <v>1522674.9703012514</v>
      </c>
      <c r="W19" s="95">
        <f t="shared" si="22"/>
        <v>95218.93506505924</v>
      </c>
      <c r="X19" s="24">
        <f t="shared" si="23"/>
        <v>0</v>
      </c>
      <c r="Y19" s="25">
        <f t="shared" si="24"/>
        <v>95218.93506505924</v>
      </c>
      <c r="Z19" s="95">
        <f t="shared" si="25"/>
        <v>371767.8421235791</v>
      </c>
      <c r="AA19" s="24">
        <f t="shared" si="26"/>
        <v>0</v>
      </c>
      <c r="AB19" s="25">
        <f t="shared" si="27"/>
        <v>371767.8421235791</v>
      </c>
      <c r="AC19" s="95">
        <f t="shared" si="28"/>
        <v>227697.453416446</v>
      </c>
      <c r="AD19" s="24">
        <f t="shared" si="29"/>
        <v>0</v>
      </c>
      <c r="AE19" s="25">
        <f t="shared" si="30"/>
        <v>227697.453416446</v>
      </c>
      <c r="AF19" s="20">
        <f t="shared" si="51"/>
        <v>979753.5387096773</v>
      </c>
      <c r="AG19" s="20">
        <f t="shared" si="52"/>
        <v>0</v>
      </c>
      <c r="AH19" s="29">
        <f t="shared" si="53"/>
        <v>2018292.2897419352</v>
      </c>
      <c r="AI19" s="29">
        <f t="shared" si="54"/>
        <v>-239059.86344516126</v>
      </c>
      <c r="AJ19" s="29">
        <f t="shared" si="55"/>
        <v>0</v>
      </c>
      <c r="AK19" s="33">
        <f t="shared" si="56"/>
        <v>91117079.1</v>
      </c>
      <c r="AL19" s="32">
        <f t="shared" si="57"/>
        <v>6524.894034350999</v>
      </c>
      <c r="AM19" s="68">
        <v>35.1</v>
      </c>
      <c r="AN19" s="29">
        <f t="shared" si="31"/>
        <v>229023.7806057201</v>
      </c>
      <c r="AO19" s="67">
        <f t="shared" si="3"/>
        <v>0.6418619473967176</v>
      </c>
      <c r="AP19" s="87">
        <f t="shared" si="32"/>
        <v>558028.536038222</v>
      </c>
      <c r="AQ19" s="87">
        <f t="shared" si="33"/>
        <v>977347.1216898004</v>
      </c>
      <c r="AR19" s="87">
        <f t="shared" si="34"/>
        <v>61117.411089900525</v>
      </c>
      <c r="AS19" s="87">
        <f t="shared" si="35"/>
        <v>238623.63112491596</v>
      </c>
      <c r="AT19" s="87">
        <f t="shared" si="36"/>
        <v>146150.33086715342</v>
      </c>
      <c r="AU19" s="87">
        <f t="shared" si="37"/>
        <v>1295465.0195095388</v>
      </c>
      <c r="AV19" s="87">
        <f t="shared" si="38"/>
        <v>-153443.4294953046</v>
      </c>
      <c r="AW19" s="87">
        <f t="shared" si="39"/>
        <v>0</v>
      </c>
      <c r="AX19" s="87">
        <f t="shared" si="40"/>
        <v>147001.64981974612</v>
      </c>
      <c r="AY19" s="67">
        <f t="shared" si="4"/>
        <v>0.3624460196423597</v>
      </c>
      <c r="AZ19" s="87">
        <f t="shared" si="41"/>
        <v>315107.04529878934</v>
      </c>
      <c r="BA19" s="87">
        <f t="shared" si="42"/>
        <v>551887.4821947368</v>
      </c>
      <c r="BB19" s="87">
        <f t="shared" si="43"/>
        <v>34511.72400891503</v>
      </c>
      <c r="BC19" s="87">
        <f t="shared" si="44"/>
        <v>134745.7746087204</v>
      </c>
      <c r="BD19" s="87">
        <f t="shared" si="45"/>
        <v>82528.03567349246</v>
      </c>
      <c r="BE19" s="87">
        <f t="shared" si="46"/>
        <v>731522.0068918285</v>
      </c>
      <c r="BF19" s="87">
        <f t="shared" si="47"/>
        <v>-86646.29596194474</v>
      </c>
      <c r="BG19" s="87">
        <f t="shared" si="48"/>
        <v>0</v>
      </c>
      <c r="BH19" s="87">
        <f t="shared" si="49"/>
        <v>83008.7576839883</v>
      </c>
      <c r="BI19" s="87"/>
      <c r="BJ19" s="95"/>
      <c r="BK19" s="96"/>
      <c r="BL19" s="87">
        <v>1000</v>
      </c>
      <c r="BM19" s="97">
        <f t="shared" si="14"/>
        <v>641.8619473967176</v>
      </c>
      <c r="BN19" s="96">
        <f t="shared" si="15"/>
        <v>362.44601964235966</v>
      </c>
    </row>
    <row r="20" spans="1:66" s="60" customFormat="1" ht="15">
      <c r="A20" s="72">
        <v>2031</v>
      </c>
      <c r="B20" s="200">
        <v>16</v>
      </c>
      <c r="C20" s="107">
        <f aca="true" t="shared" si="58" ref="C20:C34">ROUNDDOWN($D$42*1.01^(A20-A$9),0)</f>
        <v>590493</v>
      </c>
      <c r="D20" s="108">
        <f t="shared" si="5"/>
        <v>0</v>
      </c>
      <c r="E20" s="51">
        <f t="shared" si="1"/>
        <v>6135222.27</v>
      </c>
      <c r="F20" s="52">
        <f t="shared" si="2"/>
        <v>0</v>
      </c>
      <c r="G20" s="120">
        <f>'VMT Multipliers'!W$21</f>
        <v>0.14312195121951218</v>
      </c>
      <c r="H20" s="120">
        <f>'VMT Multipliers'!X$21</f>
        <v>0.25066787456445994</v>
      </c>
      <c r="I20" s="120">
        <f>'VMT Multipliers'!Y$21</f>
        <v>0.015675261324041814</v>
      </c>
      <c r="J20" s="120">
        <f>'VMT Multipliers'!Z$21</f>
        <v>0.061201672473867604</v>
      </c>
      <c r="K20" s="120">
        <f>'VMT Multipliers'!AA$21</f>
        <v>0.03748432055749129</v>
      </c>
      <c r="L20" s="118">
        <f>'VMT Multipliers'!W$20</f>
        <v>0.0013630662020905925</v>
      </c>
      <c r="M20" s="118">
        <f>'VMT Multipliers'!X$20</f>
        <v>0.10495609756097561</v>
      </c>
      <c r="N20" s="118">
        <f>'VMT Multipliers'!Y$20</f>
        <v>0.01622048780487805</v>
      </c>
      <c r="O20" s="118">
        <f>'VMT Multipliers'!Z$20</f>
        <v>0.01812878048780488</v>
      </c>
      <c r="P20" s="118">
        <f>'VMT Multipliers'!AA$20</f>
        <v>0.0012267595818815332</v>
      </c>
      <c r="Q20" s="95">
        <f t="shared" si="17"/>
        <v>878084.9824478048</v>
      </c>
      <c r="R20" s="24">
        <f t="shared" si="50"/>
        <v>0</v>
      </c>
      <c r="S20" s="25">
        <f t="shared" si="18"/>
        <v>878084.9824478048</v>
      </c>
      <c r="T20" s="95">
        <f t="shared" si="19"/>
        <v>1537903.126401441</v>
      </c>
      <c r="U20" s="24">
        <f t="shared" si="20"/>
        <v>0</v>
      </c>
      <c r="V20" s="25">
        <f t="shared" si="21"/>
        <v>1537903.126401441</v>
      </c>
      <c r="W20" s="95">
        <f t="shared" si="22"/>
        <v>96171.21236333101</v>
      </c>
      <c r="X20" s="24">
        <f t="shared" si="23"/>
        <v>0</v>
      </c>
      <c r="Y20" s="25">
        <f t="shared" si="24"/>
        <v>96171.21236333101</v>
      </c>
      <c r="Z20" s="95">
        <f t="shared" si="25"/>
        <v>375485.8639229185</v>
      </c>
      <c r="AA20" s="24">
        <f t="shared" si="26"/>
        <v>0</v>
      </c>
      <c r="AB20" s="25">
        <f t="shared" si="27"/>
        <v>375485.8639229185</v>
      </c>
      <c r="AC20" s="95">
        <f t="shared" si="28"/>
        <v>229974.63826013936</v>
      </c>
      <c r="AD20" s="24">
        <f t="shared" si="29"/>
        <v>0</v>
      </c>
      <c r="AE20" s="25">
        <f t="shared" si="30"/>
        <v>229974.63826013936</v>
      </c>
      <c r="AF20" s="20">
        <f t="shared" si="51"/>
        <v>989551.9790322579</v>
      </c>
      <c r="AG20" s="20">
        <f t="shared" si="52"/>
        <v>0</v>
      </c>
      <c r="AH20" s="29">
        <f t="shared" si="53"/>
        <v>2038477.0768064514</v>
      </c>
      <c r="AI20" s="29">
        <f t="shared" si="54"/>
        <v>-241450.68288387093</v>
      </c>
      <c r="AJ20" s="29">
        <f t="shared" si="55"/>
        <v>0</v>
      </c>
      <c r="AK20" s="33">
        <f t="shared" si="56"/>
        <v>92028334.05</v>
      </c>
      <c r="AL20" s="32">
        <f t="shared" si="57"/>
        <v>6590.149001320499</v>
      </c>
      <c r="AM20" s="68">
        <v>35.67</v>
      </c>
      <c r="AN20" s="29">
        <f t="shared" si="31"/>
        <v>235070.61487710223</v>
      </c>
      <c r="AO20" s="67">
        <f t="shared" si="3"/>
        <v>0.6231669392201143</v>
      </c>
      <c r="AP20" s="87">
        <f t="shared" si="32"/>
        <v>547193.5308871464</v>
      </c>
      <c r="AQ20" s="87">
        <f t="shared" si="33"/>
        <v>958370.3840966306</v>
      </c>
      <c r="AR20" s="87">
        <f t="shared" si="34"/>
        <v>59930.72004954461</v>
      </c>
      <c r="AS20" s="87">
        <f t="shared" si="35"/>
        <v>233990.3765412655</v>
      </c>
      <c r="AT20" s="87">
        <f t="shared" si="36"/>
        <v>143312.59142282404</v>
      </c>
      <c r="AU20" s="86">
        <f t="shared" si="37"/>
        <v>1270311.5206238423</v>
      </c>
      <c r="AV20" s="86">
        <f t="shared" si="38"/>
        <v>-150464.0830253483</v>
      </c>
      <c r="AW20" s="86">
        <f t="shared" si="39"/>
        <v>0</v>
      </c>
      <c r="AX20" s="86">
        <f t="shared" si="40"/>
        <v>146488.23557355406</v>
      </c>
      <c r="AY20" s="67">
        <f t="shared" si="4"/>
        <v>0.33873459779659787</v>
      </c>
      <c r="AZ20" s="87">
        <f t="shared" si="41"/>
        <v>297437.76336068986</v>
      </c>
      <c r="BA20" s="87">
        <f t="shared" si="42"/>
        <v>520940.9969717225</v>
      </c>
      <c r="BB20" s="87">
        <f t="shared" si="43"/>
        <v>32576.51693950413</v>
      </c>
      <c r="BC20" s="87">
        <f t="shared" si="44"/>
        <v>127190.05309423788</v>
      </c>
      <c r="BD20" s="87">
        <f t="shared" si="45"/>
        <v>77900.3665944664</v>
      </c>
      <c r="BE20" s="86">
        <f t="shared" si="46"/>
        <v>690502.7127296178</v>
      </c>
      <c r="BF20" s="86">
        <f t="shared" si="47"/>
        <v>-81787.69995438191</v>
      </c>
      <c r="BG20" s="86">
        <f t="shared" si="48"/>
        <v>0</v>
      </c>
      <c r="BH20" s="86">
        <f t="shared" si="49"/>
        <v>79626.55018419417</v>
      </c>
      <c r="BI20" s="19"/>
      <c r="BJ20" s="101"/>
      <c r="BK20" s="102"/>
      <c r="BL20" s="87">
        <v>1000</v>
      </c>
      <c r="BM20" s="97">
        <f t="shared" si="14"/>
        <v>623.1669392201144</v>
      </c>
      <c r="BN20" s="96">
        <f t="shared" si="15"/>
        <v>338.7345977965979</v>
      </c>
    </row>
    <row r="21" spans="1:66" s="60" customFormat="1" ht="15">
      <c r="A21" s="71">
        <v>2032</v>
      </c>
      <c r="B21" s="15">
        <v>17</v>
      </c>
      <c r="C21" s="165">
        <f t="shared" si="58"/>
        <v>596398</v>
      </c>
      <c r="D21" s="108">
        <f t="shared" si="5"/>
        <v>0</v>
      </c>
      <c r="E21" s="47">
        <f t="shared" si="1"/>
        <v>6196575.22</v>
      </c>
      <c r="F21" s="48">
        <f t="shared" si="2"/>
        <v>0</v>
      </c>
      <c r="G21" s="120">
        <f>'VMT Multipliers'!W$21</f>
        <v>0.14312195121951218</v>
      </c>
      <c r="H21" s="120">
        <f>'VMT Multipliers'!X$21</f>
        <v>0.25066787456445994</v>
      </c>
      <c r="I21" s="120">
        <f>'VMT Multipliers'!Y$21</f>
        <v>0.015675261324041814</v>
      </c>
      <c r="J21" s="120">
        <f>'VMT Multipliers'!Z$21</f>
        <v>0.061201672473867604</v>
      </c>
      <c r="K21" s="120">
        <f>'VMT Multipliers'!AA$21</f>
        <v>0.03748432055749129</v>
      </c>
      <c r="L21" s="118">
        <f>'VMT Multipliers'!W$20</f>
        <v>0.0013630662020905925</v>
      </c>
      <c r="M21" s="118">
        <f>'VMT Multipliers'!X$20</f>
        <v>0.10495609756097561</v>
      </c>
      <c r="N21" s="118">
        <f>'VMT Multipliers'!Y$20</f>
        <v>0.01622048780487805</v>
      </c>
      <c r="O21" s="118">
        <f>'VMT Multipliers'!Z$20</f>
        <v>0.01812878048780488</v>
      </c>
      <c r="P21" s="118">
        <f>'VMT Multipliers'!AA$20</f>
        <v>0.0012267595818815332</v>
      </c>
      <c r="Q21" s="26">
        <f t="shared" si="17"/>
        <v>886865.936364878</v>
      </c>
      <c r="R21" s="27">
        <f t="shared" si="50"/>
        <v>0</v>
      </c>
      <c r="S21" s="28">
        <f t="shared" si="18"/>
        <v>886865.936364878</v>
      </c>
      <c r="T21" s="26">
        <f t="shared" si="19"/>
        <v>1553282.3399762006</v>
      </c>
      <c r="U21" s="27">
        <f t="shared" si="20"/>
        <v>0</v>
      </c>
      <c r="V21" s="28">
        <f t="shared" si="21"/>
        <v>1553282.3399762006</v>
      </c>
      <c r="W21" s="26">
        <f t="shared" si="22"/>
        <v>97132.93588758189</v>
      </c>
      <c r="X21" s="27">
        <f t="shared" si="23"/>
        <v>0</v>
      </c>
      <c r="Y21" s="28">
        <f t="shared" si="24"/>
        <v>97132.93588758189</v>
      </c>
      <c r="Z21" s="26">
        <f t="shared" si="25"/>
        <v>379240.7670741241</v>
      </c>
      <c r="AA21" s="27">
        <f t="shared" si="26"/>
        <v>0</v>
      </c>
      <c r="AB21" s="28">
        <f t="shared" si="27"/>
        <v>379240.7670741241</v>
      </c>
      <c r="AC21" s="26">
        <f t="shared" si="28"/>
        <v>232274.4119050871</v>
      </c>
      <c r="AD21" s="27">
        <f t="shared" si="29"/>
        <v>0</v>
      </c>
      <c r="AE21" s="28">
        <f t="shared" si="30"/>
        <v>232274.4119050871</v>
      </c>
      <c r="AF21" s="20">
        <f t="shared" si="51"/>
        <v>999447.6161290322</v>
      </c>
      <c r="AG21" s="20">
        <f t="shared" si="52"/>
        <v>0</v>
      </c>
      <c r="AH21" s="29">
        <f t="shared" si="53"/>
        <v>2058862.0892258065</v>
      </c>
      <c r="AI21" s="29">
        <f t="shared" si="54"/>
        <v>-243865.21833548386</v>
      </c>
      <c r="AJ21" s="29">
        <f t="shared" si="55"/>
        <v>0</v>
      </c>
      <c r="AK21" s="33">
        <f t="shared" si="56"/>
        <v>92948628.3</v>
      </c>
      <c r="AL21" s="32">
        <f t="shared" si="57"/>
        <v>6656.051272563</v>
      </c>
      <c r="AM21" s="68">
        <v>36.24</v>
      </c>
      <c r="AN21" s="29">
        <f t="shared" si="31"/>
        <v>241215.29811768312</v>
      </c>
      <c r="AO21" s="67">
        <f t="shared" si="3"/>
        <v>0.6050164458447712</v>
      </c>
      <c r="AP21" s="31">
        <f t="shared" si="32"/>
        <v>536568.4767602735</v>
      </c>
      <c r="AQ21" s="31">
        <f t="shared" si="33"/>
        <v>939761.3607258504</v>
      </c>
      <c r="AR21" s="31">
        <f t="shared" si="34"/>
        <v>58767.02364517282</v>
      </c>
      <c r="AS21" s="31">
        <f t="shared" si="35"/>
        <v>229446.9010146313</v>
      </c>
      <c r="AT21" s="31">
        <f t="shared" si="36"/>
        <v>140529.8391515002</v>
      </c>
      <c r="AU21" s="86">
        <f t="shared" si="37"/>
        <v>1245645.4237079376</v>
      </c>
      <c r="AV21" s="86">
        <f t="shared" si="38"/>
        <v>-147542.46766249358</v>
      </c>
      <c r="AW21" s="86">
        <f t="shared" si="39"/>
        <v>0</v>
      </c>
      <c r="AX21" s="86">
        <f t="shared" si="40"/>
        <v>145939.22235054758</v>
      </c>
      <c r="AY21" s="67">
        <f t="shared" si="4"/>
        <v>0.3165743904641102</v>
      </c>
      <c r="AZ21" s="31">
        <f t="shared" si="41"/>
        <v>280759.0432280936</v>
      </c>
      <c r="BA21" s="31">
        <f t="shared" si="42"/>
        <v>491729.4099966325</v>
      </c>
      <c r="BB21" s="31">
        <f t="shared" si="43"/>
        <v>30749.79997260073</v>
      </c>
      <c r="BC21" s="31">
        <f t="shared" si="44"/>
        <v>120057.91467563242</v>
      </c>
      <c r="BD21" s="31">
        <f t="shared" si="45"/>
        <v>73532.13036926261</v>
      </c>
      <c r="BE21" s="86">
        <f t="shared" si="46"/>
        <v>651783.0109463241</v>
      </c>
      <c r="BF21" s="86">
        <f t="shared" si="47"/>
        <v>-77201.48284995295</v>
      </c>
      <c r="BG21" s="86">
        <f t="shared" si="48"/>
        <v>0</v>
      </c>
      <c r="BH21" s="86">
        <f t="shared" si="49"/>
        <v>76362.58597222416</v>
      </c>
      <c r="BI21" s="89"/>
      <c r="BJ21" s="14"/>
      <c r="BK21" s="15"/>
      <c r="BL21" s="88">
        <v>1000</v>
      </c>
      <c r="BM21" s="97">
        <f t="shared" si="14"/>
        <v>605.0164458447712</v>
      </c>
      <c r="BN21" s="96">
        <f t="shared" si="15"/>
        <v>316.5743904641102</v>
      </c>
    </row>
    <row r="22" spans="1:66" s="60" customFormat="1" ht="15">
      <c r="A22" s="72">
        <v>2033</v>
      </c>
      <c r="B22" s="200">
        <v>18</v>
      </c>
      <c r="C22" s="165">
        <f t="shared" si="58"/>
        <v>602362</v>
      </c>
      <c r="D22" s="108">
        <f t="shared" si="5"/>
        <v>0</v>
      </c>
      <c r="E22" s="47">
        <f t="shared" si="1"/>
        <v>6258541.18</v>
      </c>
      <c r="F22" s="48">
        <f t="shared" si="2"/>
        <v>0</v>
      </c>
      <c r="G22" s="120">
        <f>'VMT Multipliers'!W$21</f>
        <v>0.14312195121951218</v>
      </c>
      <c r="H22" s="120">
        <f>'VMT Multipliers'!X$21</f>
        <v>0.25066787456445994</v>
      </c>
      <c r="I22" s="120">
        <f>'VMT Multipliers'!Y$21</f>
        <v>0.015675261324041814</v>
      </c>
      <c r="J22" s="120">
        <f>'VMT Multipliers'!Z$21</f>
        <v>0.061201672473867604</v>
      </c>
      <c r="K22" s="120">
        <f>'VMT Multipliers'!AA$21</f>
        <v>0.03748432055749129</v>
      </c>
      <c r="L22" s="118">
        <f>'VMT Multipliers'!W$20</f>
        <v>0.0013630662020905925</v>
      </c>
      <c r="M22" s="118">
        <f>'VMT Multipliers'!X$20</f>
        <v>0.10495609756097561</v>
      </c>
      <c r="N22" s="118">
        <f>'VMT Multipliers'!Y$20</f>
        <v>0.01622048780487805</v>
      </c>
      <c r="O22" s="118">
        <f>'VMT Multipliers'!Z$20</f>
        <v>0.01812878048780488</v>
      </c>
      <c r="P22" s="118">
        <f>'VMT Multipliers'!AA$20</f>
        <v>0.0012267595818815332</v>
      </c>
      <c r="Q22" s="26">
        <f t="shared" si="17"/>
        <v>895734.6254692682</v>
      </c>
      <c r="R22" s="27">
        <f t="shared" si="50"/>
        <v>0</v>
      </c>
      <c r="S22" s="28">
        <f t="shared" si="18"/>
        <v>895734.6254692682</v>
      </c>
      <c r="T22" s="26">
        <f t="shared" si="19"/>
        <v>1568815.215464747</v>
      </c>
      <c r="U22" s="27">
        <f t="shared" si="20"/>
        <v>0</v>
      </c>
      <c r="V22" s="28">
        <f t="shared" si="21"/>
        <v>1568815.215464747</v>
      </c>
      <c r="W22" s="26">
        <f t="shared" si="22"/>
        <v>98104.26850377701</v>
      </c>
      <c r="X22" s="27">
        <f t="shared" si="23"/>
        <v>0</v>
      </c>
      <c r="Y22" s="28">
        <f t="shared" si="24"/>
        <v>98104.26850377701</v>
      </c>
      <c r="Z22" s="26">
        <f t="shared" si="25"/>
        <v>383033.1874625728</v>
      </c>
      <c r="AA22" s="27">
        <f t="shared" si="26"/>
        <v>0</v>
      </c>
      <c r="AB22" s="28">
        <f t="shared" si="27"/>
        <v>383033.1874625728</v>
      </c>
      <c r="AC22" s="26">
        <f t="shared" si="28"/>
        <v>234597.1638133798</v>
      </c>
      <c r="AD22" s="27">
        <f t="shared" si="29"/>
        <v>0</v>
      </c>
      <c r="AE22" s="28">
        <f t="shared" si="30"/>
        <v>234597.1638133798</v>
      </c>
      <c r="AF22" s="20">
        <f t="shared" si="51"/>
        <v>1009442.1258064515</v>
      </c>
      <c r="AG22" s="20">
        <f t="shared" si="52"/>
        <v>0</v>
      </c>
      <c r="AH22" s="29">
        <f t="shared" si="53"/>
        <v>2079450.7791612903</v>
      </c>
      <c r="AI22" s="29">
        <f t="shared" si="54"/>
        <v>-246303.87869677416</v>
      </c>
      <c r="AJ22" s="29">
        <f t="shared" si="55"/>
        <v>0</v>
      </c>
      <c r="AK22" s="33">
        <f t="shared" si="56"/>
        <v>93878117.69999999</v>
      </c>
      <c r="AL22" s="32">
        <f t="shared" si="57"/>
        <v>6722.612008496999</v>
      </c>
      <c r="AM22" s="68">
        <v>36.81</v>
      </c>
      <c r="AN22" s="29">
        <f t="shared" si="31"/>
        <v>247459.34803277455</v>
      </c>
      <c r="AO22" s="67">
        <f t="shared" si="3"/>
        <v>0.5873946076162827</v>
      </c>
      <c r="AP22" s="31">
        <f t="shared" si="32"/>
        <v>526149.6888558387</v>
      </c>
      <c r="AQ22" s="31">
        <f t="shared" si="33"/>
        <v>921513.597910369</v>
      </c>
      <c r="AR22" s="31">
        <f t="shared" si="34"/>
        <v>57625.91830325854</v>
      </c>
      <c r="AS22" s="31">
        <f t="shared" si="35"/>
        <v>224991.62885359203</v>
      </c>
      <c r="AT22" s="31">
        <f t="shared" si="36"/>
        <v>137801.10898605303</v>
      </c>
      <c r="AU22" s="86">
        <f t="shared" si="37"/>
        <v>1221458.1744828194</v>
      </c>
      <c r="AV22" s="86">
        <f t="shared" si="38"/>
        <v>-144677.57018146015</v>
      </c>
      <c r="AW22" s="86">
        <f t="shared" si="39"/>
        <v>0</v>
      </c>
      <c r="AX22" s="86">
        <f t="shared" si="40"/>
        <v>145356.28663869275</v>
      </c>
      <c r="AY22" s="67">
        <f t="shared" si="4"/>
        <v>0.29586391632159825</v>
      </c>
      <c r="AZ22" s="31">
        <f t="shared" si="41"/>
        <v>265015.55427619774</v>
      </c>
      <c r="BA22" s="31">
        <f t="shared" si="42"/>
        <v>464155.81363231206</v>
      </c>
      <c r="BB22" s="31">
        <f t="shared" si="43"/>
        <v>29025.51308739309</v>
      </c>
      <c r="BC22" s="31">
        <f t="shared" si="44"/>
        <v>113325.6989238217</v>
      </c>
      <c r="BD22" s="31">
        <f t="shared" si="45"/>
        <v>69408.83564376608</v>
      </c>
      <c r="BE22" s="86">
        <f t="shared" si="46"/>
        <v>615234.4513206583</v>
      </c>
      <c r="BF22" s="86">
        <f t="shared" si="47"/>
        <v>-72872.43015642748</v>
      </c>
      <c r="BG22" s="86">
        <f t="shared" si="48"/>
        <v>0</v>
      </c>
      <c r="BH22" s="86">
        <f t="shared" si="49"/>
        <v>73214.29183936607</v>
      </c>
      <c r="BI22" s="89"/>
      <c r="BJ22" s="14"/>
      <c r="BK22" s="15"/>
      <c r="BL22" s="88">
        <v>1000</v>
      </c>
      <c r="BM22" s="97">
        <f t="shared" si="14"/>
        <v>587.3946076162827</v>
      </c>
      <c r="BN22" s="96">
        <f t="shared" si="15"/>
        <v>295.86391632159825</v>
      </c>
    </row>
    <row r="23" spans="1:66" s="60" customFormat="1" ht="15">
      <c r="A23" s="71">
        <v>2034</v>
      </c>
      <c r="B23" s="15">
        <v>19</v>
      </c>
      <c r="C23" s="165">
        <f t="shared" si="58"/>
        <v>608385</v>
      </c>
      <c r="D23" s="108">
        <f t="shared" si="5"/>
        <v>0</v>
      </c>
      <c r="E23" s="47">
        <f t="shared" si="1"/>
        <v>6321120.149999999</v>
      </c>
      <c r="F23" s="48">
        <f t="shared" si="2"/>
        <v>0</v>
      </c>
      <c r="G23" s="120">
        <f>'VMT Multipliers'!W$21</f>
        <v>0.14312195121951218</v>
      </c>
      <c r="H23" s="120">
        <f>'VMT Multipliers'!X$21</f>
        <v>0.25066787456445994</v>
      </c>
      <c r="I23" s="120">
        <f>'VMT Multipliers'!Y$21</f>
        <v>0.015675261324041814</v>
      </c>
      <c r="J23" s="120">
        <f>'VMT Multipliers'!Z$21</f>
        <v>0.061201672473867604</v>
      </c>
      <c r="K23" s="120">
        <f>'VMT Multipliers'!AA$21</f>
        <v>0.03748432055749129</v>
      </c>
      <c r="L23" s="118">
        <f>'VMT Multipliers'!W$20</f>
        <v>0.0013630662020905925</v>
      </c>
      <c r="M23" s="118">
        <f>'VMT Multipliers'!X$20</f>
        <v>0.10495609756097561</v>
      </c>
      <c r="N23" s="118">
        <f>'VMT Multipliers'!Y$20</f>
        <v>0.01622048780487805</v>
      </c>
      <c r="O23" s="118">
        <f>'VMT Multipliers'!Z$20</f>
        <v>0.01812878048780488</v>
      </c>
      <c r="P23" s="118">
        <f>'VMT Multipliers'!AA$20</f>
        <v>0.0012267595818815332</v>
      </c>
      <c r="Q23" s="26">
        <f t="shared" si="17"/>
        <v>904691.0497609754</v>
      </c>
      <c r="R23" s="27">
        <f t="shared" si="50"/>
        <v>0</v>
      </c>
      <c r="S23" s="28">
        <f t="shared" si="18"/>
        <v>904691.0497609754</v>
      </c>
      <c r="T23" s="26">
        <f t="shared" si="19"/>
        <v>1584501.75286708</v>
      </c>
      <c r="U23" s="27">
        <f t="shared" si="20"/>
        <v>0</v>
      </c>
      <c r="V23" s="28">
        <f t="shared" si="21"/>
        <v>1584501.75286708</v>
      </c>
      <c r="W23" s="26">
        <f t="shared" si="22"/>
        <v>99085.21021191638</v>
      </c>
      <c r="X23" s="27">
        <f t="shared" si="23"/>
        <v>0</v>
      </c>
      <c r="Y23" s="28">
        <f t="shared" si="24"/>
        <v>99085.21021191638</v>
      </c>
      <c r="Z23" s="26">
        <f t="shared" si="25"/>
        <v>386863.1250882648</v>
      </c>
      <c r="AA23" s="27">
        <f t="shared" si="26"/>
        <v>0</v>
      </c>
      <c r="AB23" s="28">
        <f t="shared" si="27"/>
        <v>386863.1250882648</v>
      </c>
      <c r="AC23" s="26">
        <f t="shared" si="28"/>
        <v>236942.8939850174</v>
      </c>
      <c r="AD23" s="27">
        <f t="shared" si="29"/>
        <v>0</v>
      </c>
      <c r="AE23" s="28">
        <f t="shared" si="30"/>
        <v>236942.8939850174</v>
      </c>
      <c r="AF23" s="20">
        <f t="shared" si="51"/>
        <v>1019535.508064516</v>
      </c>
      <c r="AG23" s="20">
        <f t="shared" si="52"/>
        <v>0</v>
      </c>
      <c r="AH23" s="29">
        <f t="shared" si="53"/>
        <v>2100243.146612903</v>
      </c>
      <c r="AI23" s="29">
        <f t="shared" si="54"/>
        <v>-248766.6639677419</v>
      </c>
      <c r="AJ23" s="29">
        <f t="shared" si="55"/>
        <v>0</v>
      </c>
      <c r="AK23" s="33">
        <f t="shared" si="56"/>
        <v>94816802.24999999</v>
      </c>
      <c r="AL23" s="32">
        <f t="shared" si="57"/>
        <v>6789.831209122499</v>
      </c>
      <c r="AM23" s="68">
        <v>37.38</v>
      </c>
      <c r="AN23" s="29">
        <f t="shared" si="31"/>
        <v>253803.89059699903</v>
      </c>
      <c r="AO23" s="67">
        <f t="shared" si="3"/>
        <v>0.570286026811925</v>
      </c>
      <c r="AP23" s="31">
        <f t="shared" si="32"/>
        <v>515932.66426049615</v>
      </c>
      <c r="AQ23" s="31">
        <f t="shared" si="33"/>
        <v>903619.2091190977</v>
      </c>
      <c r="AR23" s="31">
        <f t="shared" si="34"/>
        <v>56506.91084757816</v>
      </c>
      <c r="AS23" s="31">
        <f t="shared" si="35"/>
        <v>220622.63452663127</v>
      </c>
      <c r="AT23" s="31">
        <f t="shared" si="36"/>
        <v>135125.22159203474</v>
      </c>
      <c r="AU23" s="86">
        <f t="shared" si="37"/>
        <v>1197739.3194208478</v>
      </c>
      <c r="AV23" s="86">
        <f t="shared" si="38"/>
        <v>-141868.15239742078</v>
      </c>
      <c r="AW23" s="86">
        <f t="shared" si="39"/>
        <v>0</v>
      </c>
      <c r="AX23" s="86">
        <f t="shared" si="40"/>
        <v>144740.81235797107</v>
      </c>
      <c r="AY23" s="67">
        <f t="shared" si="4"/>
        <v>0.2765083330108395</v>
      </c>
      <c r="AZ23" s="31">
        <f t="shared" si="41"/>
        <v>250154.61405923375</v>
      </c>
      <c r="BA23" s="31">
        <f t="shared" si="42"/>
        <v>438127.9383380295</v>
      </c>
      <c r="BB23" s="31">
        <f t="shared" si="43"/>
        <v>27397.886301725608</v>
      </c>
      <c r="BC23" s="31">
        <f t="shared" si="44"/>
        <v>106970.87782151999</v>
      </c>
      <c r="BD23" s="31">
        <f t="shared" si="45"/>
        <v>65516.68463456123</v>
      </c>
      <c r="BE23" s="86">
        <f t="shared" si="46"/>
        <v>580734.731387374</v>
      </c>
      <c r="BF23" s="86">
        <f t="shared" si="47"/>
        <v>-68786.05556238798</v>
      </c>
      <c r="BG23" s="86">
        <f t="shared" si="48"/>
        <v>0</v>
      </c>
      <c r="BH23" s="86">
        <f t="shared" si="49"/>
        <v>70178.89070064168</v>
      </c>
      <c r="BI23" s="89"/>
      <c r="BJ23" s="14"/>
      <c r="BK23" s="15"/>
      <c r="BL23" s="88">
        <v>1000</v>
      </c>
      <c r="BM23" s="97">
        <f t="shared" si="14"/>
        <v>570.286026811925</v>
      </c>
      <c r="BN23" s="96">
        <f t="shared" si="15"/>
        <v>276.50833301083946</v>
      </c>
    </row>
    <row r="24" spans="1:66" s="60" customFormat="1" ht="15">
      <c r="A24" s="72">
        <v>2035</v>
      </c>
      <c r="B24" s="200">
        <v>20</v>
      </c>
      <c r="C24" s="165">
        <f t="shared" si="58"/>
        <v>614469</v>
      </c>
      <c r="D24" s="108">
        <f t="shared" si="5"/>
        <v>0</v>
      </c>
      <c r="E24" s="47">
        <f t="shared" si="1"/>
        <v>6384332.909999999</v>
      </c>
      <c r="F24" s="48">
        <f t="shared" si="2"/>
        <v>0</v>
      </c>
      <c r="G24" s="120">
        <f>'VMT Multipliers'!W$21</f>
        <v>0.14312195121951218</v>
      </c>
      <c r="H24" s="120">
        <f>'VMT Multipliers'!X$21</f>
        <v>0.25066787456445994</v>
      </c>
      <c r="I24" s="120">
        <f>'VMT Multipliers'!Y$21</f>
        <v>0.015675261324041814</v>
      </c>
      <c r="J24" s="120">
        <f>'VMT Multipliers'!Z$21</f>
        <v>0.061201672473867604</v>
      </c>
      <c r="K24" s="120">
        <f>'VMT Multipliers'!AA$21</f>
        <v>0.03748432055749129</v>
      </c>
      <c r="L24" s="118">
        <f>'VMT Multipliers'!W$20</f>
        <v>0.0013630662020905925</v>
      </c>
      <c r="M24" s="118">
        <f>'VMT Multipliers'!X$20</f>
        <v>0.10495609756097561</v>
      </c>
      <c r="N24" s="118">
        <f>'VMT Multipliers'!Y$20</f>
        <v>0.01622048780487805</v>
      </c>
      <c r="O24" s="118">
        <f>'VMT Multipliers'!Z$20</f>
        <v>0.01812878048780488</v>
      </c>
      <c r="P24" s="118">
        <f>'VMT Multipliers'!AA$20</f>
        <v>0.0012267595818815332</v>
      </c>
      <c r="Q24" s="26">
        <f t="shared" si="17"/>
        <v>913738.1833141461</v>
      </c>
      <c r="R24" s="27">
        <f t="shared" si="50"/>
        <v>0</v>
      </c>
      <c r="S24" s="28">
        <f t="shared" si="18"/>
        <v>913738.1833141461</v>
      </c>
      <c r="T24" s="26">
        <f t="shared" si="19"/>
        <v>1600347.1610616334</v>
      </c>
      <c r="U24" s="27">
        <f t="shared" si="20"/>
        <v>0</v>
      </c>
      <c r="V24" s="28">
        <f t="shared" si="21"/>
        <v>1600347.1610616334</v>
      </c>
      <c r="W24" s="26">
        <f t="shared" si="22"/>
        <v>100076.08674393031</v>
      </c>
      <c r="X24" s="27">
        <f t="shared" si="23"/>
        <v>0</v>
      </c>
      <c r="Y24" s="28">
        <f t="shared" si="24"/>
        <v>100076.08674393031</v>
      </c>
      <c r="Z24" s="26">
        <f t="shared" si="25"/>
        <v>390731.851721954</v>
      </c>
      <c r="AA24" s="27">
        <f t="shared" si="26"/>
        <v>0</v>
      </c>
      <c r="AB24" s="28">
        <f t="shared" si="27"/>
        <v>390731.851721954</v>
      </c>
      <c r="AC24" s="26">
        <f t="shared" si="28"/>
        <v>239312.38134418117</v>
      </c>
      <c r="AD24" s="27">
        <f t="shared" si="29"/>
        <v>0</v>
      </c>
      <c r="AE24" s="28">
        <f t="shared" si="30"/>
        <v>239312.38134418117</v>
      </c>
      <c r="AF24" s="20">
        <f t="shared" si="51"/>
        <v>1029731.1145161289</v>
      </c>
      <c r="AG24" s="20">
        <f t="shared" si="52"/>
        <v>0</v>
      </c>
      <c r="AH24" s="29">
        <f t="shared" si="53"/>
        <v>2121246.0959032257</v>
      </c>
      <c r="AI24" s="29">
        <f t="shared" si="54"/>
        <v>-251254.39194193544</v>
      </c>
      <c r="AJ24" s="29">
        <f t="shared" si="55"/>
        <v>0</v>
      </c>
      <c r="AK24" s="33">
        <f t="shared" si="56"/>
        <v>95764993.64999999</v>
      </c>
      <c r="AL24" s="32">
        <f t="shared" si="57"/>
        <v>6857.731195276499</v>
      </c>
      <c r="AM24" s="68">
        <v>37.95</v>
      </c>
      <c r="AN24" s="29">
        <f t="shared" si="31"/>
        <v>260250.89886074318</v>
      </c>
      <c r="AO24" s="67">
        <f t="shared" si="3"/>
        <v>0.553675754186335</v>
      </c>
      <c r="AP24" s="31">
        <f t="shared" si="32"/>
        <v>505914.67777531146</v>
      </c>
      <c r="AQ24" s="31">
        <f t="shared" si="33"/>
        <v>886073.4213607599</v>
      </c>
      <c r="AR24" s="31">
        <f t="shared" si="34"/>
        <v>55409.7028039627</v>
      </c>
      <c r="AS24" s="31">
        <f t="shared" si="35"/>
        <v>216338.7526867761</v>
      </c>
      <c r="AT24" s="31">
        <f t="shared" si="36"/>
        <v>132501.46322686732</v>
      </c>
      <c r="AU24" s="86">
        <f t="shared" si="37"/>
        <v>1174482.531964037</v>
      </c>
      <c r="AV24" s="86">
        <f t="shared" si="38"/>
        <v>-139113.4649510801</v>
      </c>
      <c r="AW24" s="86">
        <f t="shared" si="39"/>
        <v>0</v>
      </c>
      <c r="AX24" s="86">
        <f t="shared" si="40"/>
        <v>144094.61270439357</v>
      </c>
      <c r="AY24" s="67">
        <f t="shared" si="4"/>
        <v>0.2584190028138687</v>
      </c>
      <c r="AZ24" s="31">
        <f t="shared" si="41"/>
        <v>236127.31016499762</v>
      </c>
      <c r="BA24" s="31">
        <f t="shared" si="42"/>
        <v>413560.11751755304</v>
      </c>
      <c r="BB24" s="31">
        <f t="shared" si="43"/>
        <v>25861.562541880696</v>
      </c>
      <c r="BC24" s="31">
        <f t="shared" si="44"/>
        <v>100972.53548960376</v>
      </c>
      <c r="BD24" s="31">
        <f t="shared" si="45"/>
        <v>61842.86694797557</v>
      </c>
      <c r="BE24" s="86">
        <f t="shared" si="46"/>
        <v>548170.3008261237</v>
      </c>
      <c r="BF24" s="86">
        <f t="shared" si="47"/>
        <v>-64928.909418239884</v>
      </c>
      <c r="BG24" s="86">
        <f t="shared" si="48"/>
        <v>0</v>
      </c>
      <c r="BH24" s="86">
        <f t="shared" si="49"/>
        <v>67253.77776500625</v>
      </c>
      <c r="BI24" s="89"/>
      <c r="BJ24" s="14"/>
      <c r="BK24" s="15"/>
      <c r="BL24" s="88">
        <v>1500</v>
      </c>
      <c r="BM24" s="97">
        <f t="shared" si="14"/>
        <v>830.5136312795024</v>
      </c>
      <c r="BN24" s="96">
        <f t="shared" si="15"/>
        <v>387.62850422080305</v>
      </c>
    </row>
    <row r="25" spans="1:66" s="60" customFormat="1" ht="15">
      <c r="A25" s="71">
        <v>2036</v>
      </c>
      <c r="B25" s="15">
        <v>21</v>
      </c>
      <c r="C25" s="165">
        <f t="shared" si="58"/>
        <v>620614</v>
      </c>
      <c r="D25" s="108">
        <f t="shared" si="5"/>
        <v>0</v>
      </c>
      <c r="E25" s="47">
        <f t="shared" si="1"/>
        <v>6448179.459999999</v>
      </c>
      <c r="F25" s="48">
        <f t="shared" si="2"/>
        <v>0</v>
      </c>
      <c r="G25" s="120">
        <f>'VMT Multipliers'!W$21</f>
        <v>0.14312195121951218</v>
      </c>
      <c r="H25" s="120">
        <f>'VMT Multipliers'!X$21</f>
        <v>0.25066787456445994</v>
      </c>
      <c r="I25" s="120">
        <f>'VMT Multipliers'!Y$21</f>
        <v>0.015675261324041814</v>
      </c>
      <c r="J25" s="120">
        <f>'VMT Multipliers'!Z$21</f>
        <v>0.061201672473867604</v>
      </c>
      <c r="K25" s="120">
        <f>'VMT Multipliers'!AA$21</f>
        <v>0.03748432055749129</v>
      </c>
      <c r="L25" s="118">
        <f>'VMT Multipliers'!W$20</f>
        <v>0.0013630662020905925</v>
      </c>
      <c r="M25" s="118">
        <f>'VMT Multipliers'!X$20</f>
        <v>0.10495609756097561</v>
      </c>
      <c r="N25" s="118">
        <f>'VMT Multipliers'!Y$20</f>
        <v>0.01622048780487805</v>
      </c>
      <c r="O25" s="118">
        <f>'VMT Multipliers'!Z$20</f>
        <v>0.01812878048780488</v>
      </c>
      <c r="P25" s="118">
        <f>'VMT Multipliers'!AA$20</f>
        <v>0.0012267595818815332</v>
      </c>
      <c r="Q25" s="26">
        <f t="shared" si="17"/>
        <v>922876.0261287803</v>
      </c>
      <c r="R25" s="27">
        <f t="shared" si="50"/>
        <v>0</v>
      </c>
      <c r="S25" s="28">
        <f t="shared" si="18"/>
        <v>922876.0261287803</v>
      </c>
      <c r="T25" s="26">
        <f t="shared" si="19"/>
        <v>1616351.4400484068</v>
      </c>
      <c r="U25" s="27">
        <f t="shared" si="20"/>
        <v>0</v>
      </c>
      <c r="V25" s="28">
        <f t="shared" si="21"/>
        <v>1616351.4400484068</v>
      </c>
      <c r="W25" s="26">
        <f t="shared" si="22"/>
        <v>101076.8980998188</v>
      </c>
      <c r="X25" s="27">
        <f t="shared" si="23"/>
        <v>0</v>
      </c>
      <c r="Y25" s="28">
        <f t="shared" si="24"/>
        <v>101076.8980998188</v>
      </c>
      <c r="Z25" s="26">
        <f t="shared" si="25"/>
        <v>394639.3673636404</v>
      </c>
      <c r="AA25" s="27">
        <f t="shared" si="26"/>
        <v>0</v>
      </c>
      <c r="AB25" s="28">
        <f t="shared" si="27"/>
        <v>394639.3673636404</v>
      </c>
      <c r="AC25" s="26">
        <f t="shared" si="28"/>
        <v>241705.62589087104</v>
      </c>
      <c r="AD25" s="27">
        <f t="shared" si="29"/>
        <v>0</v>
      </c>
      <c r="AE25" s="28">
        <f t="shared" si="30"/>
        <v>241705.62589087104</v>
      </c>
      <c r="AF25" s="20">
        <f t="shared" si="51"/>
        <v>1040028.9451612901</v>
      </c>
      <c r="AG25" s="20">
        <f t="shared" si="52"/>
        <v>0</v>
      </c>
      <c r="AH25" s="29">
        <f t="shared" si="53"/>
        <v>2142459.6270322576</v>
      </c>
      <c r="AI25" s="29">
        <f t="shared" si="54"/>
        <v>-253767.06261935478</v>
      </c>
      <c r="AJ25" s="29">
        <f t="shared" si="55"/>
        <v>0</v>
      </c>
      <c r="AK25" s="33">
        <f t="shared" si="56"/>
        <v>96722691.89999999</v>
      </c>
      <c r="AL25" s="32">
        <f t="shared" si="57"/>
        <v>6926.311966959</v>
      </c>
      <c r="AM25" s="68">
        <v>38.52</v>
      </c>
      <c r="AN25" s="29">
        <f t="shared" si="31"/>
        <v>266801.5369672607</v>
      </c>
      <c r="AO25" s="67">
        <f t="shared" si="3"/>
        <v>0.5375492759090631</v>
      </c>
      <c r="AP25" s="31">
        <f t="shared" si="32"/>
        <v>496091.33959935943</v>
      </c>
      <c r="AQ25" s="31">
        <f t="shared" si="33"/>
        <v>868868.5462125925</v>
      </c>
      <c r="AR25" s="31">
        <f t="shared" si="34"/>
        <v>54333.813384691755</v>
      </c>
      <c r="AS25" s="31">
        <f t="shared" si="35"/>
        <v>212138.10617153565</v>
      </c>
      <c r="AT25" s="31">
        <f t="shared" si="36"/>
        <v>129928.68418078462</v>
      </c>
      <c r="AU25" s="86">
        <f t="shared" si="37"/>
        <v>1151677.6211755914</v>
      </c>
      <c r="AV25" s="86">
        <f t="shared" si="38"/>
        <v>-136412.30076060403</v>
      </c>
      <c r="AW25" s="86">
        <f t="shared" si="39"/>
        <v>0</v>
      </c>
      <c r="AX25" s="86">
        <f t="shared" si="40"/>
        <v>143418.9730081761</v>
      </c>
      <c r="AY25" s="67">
        <f t="shared" si="4"/>
        <v>0.24151308674193336</v>
      </c>
      <c r="AZ25" s="31">
        <f t="shared" si="41"/>
        <v>222886.6377504909</v>
      </c>
      <c r="BA25" s="31">
        <f t="shared" si="42"/>
        <v>390370.02554585977</v>
      </c>
      <c r="BB25" s="31">
        <f t="shared" si="43"/>
        <v>24411.3936583871</v>
      </c>
      <c r="BC25" s="31">
        <f t="shared" si="44"/>
        <v>95310.57176187659</v>
      </c>
      <c r="BD25" s="31">
        <f t="shared" si="45"/>
        <v>58375.071791795235</v>
      </c>
      <c r="BE25" s="86">
        <f t="shared" si="46"/>
        <v>517432.0377445318</v>
      </c>
      <c r="BF25" s="86">
        <f t="shared" si="47"/>
        <v>-61288.06660663387</v>
      </c>
      <c r="BG25" s="86">
        <f t="shared" si="48"/>
        <v>0</v>
      </c>
      <c r="BH25" s="86">
        <f t="shared" si="49"/>
        <v>64436.06274045518</v>
      </c>
      <c r="BI25" s="89"/>
      <c r="BJ25" s="14"/>
      <c r="BK25" s="15"/>
      <c r="BL25" s="88">
        <v>1500</v>
      </c>
      <c r="BM25" s="97">
        <f t="shared" si="14"/>
        <v>806.3239138635946</v>
      </c>
      <c r="BN25" s="96">
        <f t="shared" si="15"/>
        <v>362.2696301129</v>
      </c>
    </row>
    <row r="26" spans="1:66" s="60" customFormat="1" ht="15">
      <c r="A26" s="72">
        <v>2037</v>
      </c>
      <c r="B26" s="200">
        <v>22</v>
      </c>
      <c r="C26" s="165">
        <f t="shared" si="58"/>
        <v>626820</v>
      </c>
      <c r="D26" s="108">
        <f t="shared" si="5"/>
        <v>0</v>
      </c>
      <c r="E26" s="47">
        <f t="shared" si="1"/>
        <v>6512659.799999999</v>
      </c>
      <c r="F26" s="48">
        <f t="shared" si="2"/>
        <v>0</v>
      </c>
      <c r="G26" s="120">
        <f>'VMT Multipliers'!W$21</f>
        <v>0.14312195121951218</v>
      </c>
      <c r="H26" s="120">
        <f>'VMT Multipliers'!X$21</f>
        <v>0.25066787456445994</v>
      </c>
      <c r="I26" s="120">
        <f>'VMT Multipliers'!Y$21</f>
        <v>0.015675261324041814</v>
      </c>
      <c r="J26" s="120">
        <f>'VMT Multipliers'!Z$21</f>
        <v>0.061201672473867604</v>
      </c>
      <c r="K26" s="120">
        <f>'VMT Multipliers'!AA$21</f>
        <v>0.03748432055749129</v>
      </c>
      <c r="L26" s="118">
        <f>'VMT Multipliers'!W$20</f>
        <v>0.0013630662020905925</v>
      </c>
      <c r="M26" s="118">
        <f>'VMT Multipliers'!X$20</f>
        <v>0.10495609756097561</v>
      </c>
      <c r="N26" s="118">
        <f>'VMT Multipliers'!Y$20</f>
        <v>0.01622048780487805</v>
      </c>
      <c r="O26" s="118">
        <f>'VMT Multipliers'!Z$20</f>
        <v>0.01812878048780488</v>
      </c>
      <c r="P26" s="118">
        <f>'VMT Multipliers'!AA$20</f>
        <v>0.0012267595818815332</v>
      </c>
      <c r="Q26" s="26">
        <f t="shared" si="17"/>
        <v>932104.5782048778</v>
      </c>
      <c r="R26" s="27">
        <f t="shared" si="50"/>
        <v>0</v>
      </c>
      <c r="S26" s="28">
        <f t="shared" si="18"/>
        <v>932104.5782048778</v>
      </c>
      <c r="T26" s="26">
        <f t="shared" si="19"/>
        <v>1632514.5898274004</v>
      </c>
      <c r="U26" s="27">
        <f t="shared" si="20"/>
        <v>0</v>
      </c>
      <c r="V26" s="28">
        <f t="shared" si="21"/>
        <v>1632514.5898274004</v>
      </c>
      <c r="W26" s="26">
        <f t="shared" si="22"/>
        <v>102087.64427958187</v>
      </c>
      <c r="X26" s="27">
        <f t="shared" si="23"/>
        <v>0</v>
      </c>
      <c r="Y26" s="28">
        <f t="shared" si="24"/>
        <v>102087.64427958187</v>
      </c>
      <c r="Z26" s="26">
        <f t="shared" si="25"/>
        <v>398585.67201332405</v>
      </c>
      <c r="AA26" s="27">
        <f t="shared" si="26"/>
        <v>0</v>
      </c>
      <c r="AB26" s="28">
        <f t="shared" si="27"/>
        <v>398585.67201332405</v>
      </c>
      <c r="AC26" s="26">
        <f t="shared" si="28"/>
        <v>244122.62762508707</v>
      </c>
      <c r="AD26" s="27">
        <f t="shared" si="29"/>
        <v>0</v>
      </c>
      <c r="AE26" s="28">
        <f t="shared" si="30"/>
        <v>244122.62762508707</v>
      </c>
      <c r="AF26" s="20">
        <f t="shared" si="51"/>
        <v>1050428.9999999998</v>
      </c>
      <c r="AG26" s="20">
        <f t="shared" si="52"/>
        <v>0</v>
      </c>
      <c r="AH26" s="29">
        <f t="shared" si="53"/>
        <v>2163883.7399999998</v>
      </c>
      <c r="AI26" s="29">
        <f t="shared" si="54"/>
        <v>-256304.67599999995</v>
      </c>
      <c r="AJ26" s="29">
        <f t="shared" si="55"/>
        <v>0</v>
      </c>
      <c r="AK26" s="33">
        <f t="shared" si="56"/>
        <v>97689896.99999999</v>
      </c>
      <c r="AL26" s="32">
        <f t="shared" si="57"/>
        <v>6995.5735241699995</v>
      </c>
      <c r="AM26" s="68">
        <v>39.09</v>
      </c>
      <c r="AN26" s="29">
        <f t="shared" si="31"/>
        <v>273456.9690598053</v>
      </c>
      <c r="AO26" s="67">
        <f t="shared" si="3"/>
        <v>0.5218925008825855</v>
      </c>
      <c r="AP26" s="31">
        <f t="shared" si="32"/>
        <v>486458.38940345123</v>
      </c>
      <c r="AQ26" s="31">
        <f t="shared" si="33"/>
        <v>851997.1220123303</v>
      </c>
      <c r="AR26" s="31">
        <f t="shared" si="34"/>
        <v>53278.775982282765</v>
      </c>
      <c r="AS26" s="31">
        <f t="shared" si="35"/>
        <v>208018.87318299967</v>
      </c>
      <c r="AT26" s="31">
        <f t="shared" si="36"/>
        <v>127405.76865328486</v>
      </c>
      <c r="AU26" s="86">
        <f t="shared" si="37"/>
        <v>1129314.6966877624</v>
      </c>
      <c r="AV26" s="86">
        <f t="shared" si="38"/>
        <v>-133763.48834554077</v>
      </c>
      <c r="AW26" s="86">
        <f t="shared" si="39"/>
        <v>0</v>
      </c>
      <c r="AX26" s="86">
        <f t="shared" si="40"/>
        <v>142715.14146639363</v>
      </c>
      <c r="AY26" s="67">
        <f t="shared" si="4"/>
        <v>0.22571316517937698</v>
      </c>
      <c r="AZ26" s="31">
        <f t="shared" si="41"/>
        <v>210388.27462481108</v>
      </c>
      <c r="BA26" s="31">
        <f t="shared" si="42"/>
        <v>368480.0352714549</v>
      </c>
      <c r="BB26" s="31">
        <f t="shared" si="43"/>
        <v>23042.525316050742</v>
      </c>
      <c r="BC26" s="31">
        <f t="shared" si="44"/>
        <v>89966.03362527638</v>
      </c>
      <c r="BD26" s="31">
        <f t="shared" si="45"/>
        <v>55101.69097316482</v>
      </c>
      <c r="BE26" s="86">
        <f t="shared" si="46"/>
        <v>488417.048035588</v>
      </c>
      <c r="BF26" s="86">
        <f t="shared" si="47"/>
        <v>-57851.33967023469</v>
      </c>
      <c r="BG26" s="86">
        <f t="shared" si="48"/>
        <v>0</v>
      </c>
      <c r="BH26" s="86">
        <f t="shared" si="49"/>
        <v>61722.83802684762</v>
      </c>
      <c r="BI26" s="89"/>
      <c r="BJ26" s="14"/>
      <c r="BK26" s="15"/>
      <c r="BL26" s="88">
        <v>1500</v>
      </c>
      <c r="BM26" s="97">
        <f t="shared" si="14"/>
        <v>782.8387513238783</v>
      </c>
      <c r="BN26" s="96">
        <f t="shared" si="15"/>
        <v>338.5697477690655</v>
      </c>
    </row>
    <row r="27" spans="1:66" s="60" customFormat="1" ht="15">
      <c r="A27" s="71">
        <v>2038</v>
      </c>
      <c r="B27" s="15">
        <v>23</v>
      </c>
      <c r="C27" s="165">
        <f t="shared" si="58"/>
        <v>633088</v>
      </c>
      <c r="D27" s="108">
        <f t="shared" si="5"/>
        <v>0</v>
      </c>
      <c r="E27" s="47">
        <f t="shared" si="1"/>
        <v>6577784.319999999</v>
      </c>
      <c r="F27" s="48">
        <f t="shared" si="2"/>
        <v>0</v>
      </c>
      <c r="G27" s="120">
        <f>'VMT Multipliers'!W$21</f>
        <v>0.14312195121951218</v>
      </c>
      <c r="H27" s="120">
        <f>'VMT Multipliers'!X$21</f>
        <v>0.25066787456445994</v>
      </c>
      <c r="I27" s="120">
        <f>'VMT Multipliers'!Y$21</f>
        <v>0.015675261324041814</v>
      </c>
      <c r="J27" s="120">
        <f>'VMT Multipliers'!Z$21</f>
        <v>0.061201672473867604</v>
      </c>
      <c r="K27" s="120">
        <f>'VMT Multipliers'!AA$21</f>
        <v>0.03748432055749129</v>
      </c>
      <c r="L27" s="118">
        <f>'VMT Multipliers'!W$20</f>
        <v>0.0013630662020905925</v>
      </c>
      <c r="M27" s="118">
        <f>'VMT Multipliers'!X$20</f>
        <v>0.10495609756097561</v>
      </c>
      <c r="N27" s="118">
        <f>'VMT Multipliers'!Y$20</f>
        <v>0.01622048780487805</v>
      </c>
      <c r="O27" s="118">
        <f>'VMT Multipliers'!Z$20</f>
        <v>0.01812878048780488</v>
      </c>
      <c r="P27" s="118">
        <f>'VMT Multipliers'!AA$20</f>
        <v>0.0012267595818815332</v>
      </c>
      <c r="Q27" s="26">
        <f t="shared" si="17"/>
        <v>941425.326579512</v>
      </c>
      <c r="R27" s="27">
        <f t="shared" si="50"/>
        <v>0</v>
      </c>
      <c r="S27" s="28">
        <f t="shared" si="18"/>
        <v>941425.326579512</v>
      </c>
      <c r="T27" s="26">
        <f t="shared" si="19"/>
        <v>1648839.2148378312</v>
      </c>
      <c r="U27" s="27">
        <f t="shared" si="20"/>
        <v>0</v>
      </c>
      <c r="V27" s="28">
        <f t="shared" si="21"/>
        <v>1648839.2148378312</v>
      </c>
      <c r="W27" s="26">
        <f t="shared" si="22"/>
        <v>103108.48814918468</v>
      </c>
      <c r="X27" s="27">
        <f t="shared" si="23"/>
        <v>0</v>
      </c>
      <c r="Y27" s="28">
        <f t="shared" si="24"/>
        <v>103108.48814918468</v>
      </c>
      <c r="Z27" s="26">
        <f t="shared" si="25"/>
        <v>402571.4015563819</v>
      </c>
      <c r="AA27" s="27">
        <f t="shared" si="26"/>
        <v>0</v>
      </c>
      <c r="AB27" s="28">
        <f t="shared" si="27"/>
        <v>402571.4015563819</v>
      </c>
      <c r="AC27" s="26">
        <f t="shared" si="28"/>
        <v>246563.77600891984</v>
      </c>
      <c r="AD27" s="27">
        <f t="shared" si="29"/>
        <v>0</v>
      </c>
      <c r="AE27" s="28">
        <f t="shared" si="30"/>
        <v>246563.77600891984</v>
      </c>
      <c r="AF27" s="20">
        <f t="shared" si="51"/>
        <v>1060932.9548387094</v>
      </c>
      <c r="AG27" s="20">
        <f t="shared" si="52"/>
        <v>0</v>
      </c>
      <c r="AH27" s="29">
        <f t="shared" si="53"/>
        <v>2185521.8869677414</v>
      </c>
      <c r="AI27" s="29">
        <f t="shared" si="54"/>
        <v>-258867.6409806451</v>
      </c>
      <c r="AJ27" s="29">
        <f t="shared" si="55"/>
        <v>0</v>
      </c>
      <c r="AK27" s="33">
        <f t="shared" si="56"/>
        <v>98666764.8</v>
      </c>
      <c r="AL27" s="32">
        <f t="shared" si="57"/>
        <v>7065.527027328</v>
      </c>
      <c r="AM27" s="68">
        <v>39.66</v>
      </c>
      <c r="AN27" s="29">
        <f t="shared" si="31"/>
        <v>280218.80190382845</v>
      </c>
      <c r="AO27" s="67">
        <f t="shared" si="3"/>
        <v>0.5066917484296947</v>
      </c>
      <c r="AP27" s="31">
        <f t="shared" si="32"/>
        <v>477012.4447405692</v>
      </c>
      <c r="AQ27" s="31">
        <f t="shared" si="33"/>
        <v>835453.2246456257</v>
      </c>
      <c r="AR27" s="31">
        <f t="shared" si="34"/>
        <v>52244.22013825284</v>
      </c>
      <c r="AS27" s="31">
        <f t="shared" si="35"/>
        <v>203979.60732239584</v>
      </c>
      <c r="AT27" s="31">
        <f t="shared" si="36"/>
        <v>124931.8307653872</v>
      </c>
      <c r="AU27" s="86">
        <f t="shared" si="37"/>
        <v>1107385.9061390504</v>
      </c>
      <c r="AV27" s="86">
        <f t="shared" si="38"/>
        <v>-131166.09762035354</v>
      </c>
      <c r="AW27" s="86">
        <f t="shared" si="39"/>
        <v>0</v>
      </c>
      <c r="AX27" s="86">
        <f t="shared" si="40"/>
        <v>141984.55467952508</v>
      </c>
      <c r="AY27" s="67">
        <f t="shared" si="4"/>
        <v>0.2109468833452121</v>
      </c>
      <c r="AZ27" s="31">
        <f t="shared" si="41"/>
        <v>198590.73854419653</v>
      </c>
      <c r="BA27" s="31">
        <f t="shared" si="42"/>
        <v>347817.4935074071</v>
      </c>
      <c r="BB27" s="31">
        <f t="shared" si="43"/>
        <v>21750.414221507246</v>
      </c>
      <c r="BC27" s="31">
        <f t="shared" si="44"/>
        <v>84921.18248223263</v>
      </c>
      <c r="BD27" s="31">
        <f t="shared" si="45"/>
        <v>52011.860094908625</v>
      </c>
      <c r="BE27" s="86">
        <f t="shared" si="46"/>
        <v>461029.030538592</v>
      </c>
      <c r="BF27" s="86">
        <f t="shared" si="47"/>
        <v>-54607.322063794396</v>
      </c>
      <c r="BG27" s="86">
        <f t="shared" si="48"/>
        <v>0</v>
      </c>
      <c r="BH27" s="86">
        <f t="shared" si="49"/>
        <v>59111.282916342</v>
      </c>
      <c r="BI27" s="89"/>
      <c r="BJ27" s="14"/>
      <c r="BK27" s="15"/>
      <c r="BL27" s="88">
        <v>1500</v>
      </c>
      <c r="BM27" s="97">
        <f t="shared" si="14"/>
        <v>760.037622644542</v>
      </c>
      <c r="BN27" s="96">
        <f t="shared" si="15"/>
        <v>316.4203250178182</v>
      </c>
    </row>
    <row r="28" spans="1:66" s="60" customFormat="1" ht="15">
      <c r="A28" s="72">
        <v>2039</v>
      </c>
      <c r="B28" s="200">
        <v>24</v>
      </c>
      <c r="C28" s="165">
        <f t="shared" si="58"/>
        <v>639419</v>
      </c>
      <c r="D28" s="108">
        <f t="shared" si="5"/>
        <v>0</v>
      </c>
      <c r="E28" s="47">
        <f t="shared" si="1"/>
        <v>6643563.409999999</v>
      </c>
      <c r="F28" s="48">
        <f t="shared" si="2"/>
        <v>0</v>
      </c>
      <c r="G28" s="120">
        <f>'VMT Multipliers'!W$21</f>
        <v>0.14312195121951218</v>
      </c>
      <c r="H28" s="120">
        <f>'VMT Multipliers'!X$21</f>
        <v>0.25066787456445994</v>
      </c>
      <c r="I28" s="120">
        <f>'VMT Multipliers'!Y$21</f>
        <v>0.015675261324041814</v>
      </c>
      <c r="J28" s="120">
        <f>'VMT Multipliers'!Z$21</f>
        <v>0.061201672473867604</v>
      </c>
      <c r="K28" s="120">
        <f>'VMT Multipliers'!AA$21</f>
        <v>0.03748432055749129</v>
      </c>
      <c r="L28" s="118">
        <f>'VMT Multipliers'!W$20</f>
        <v>0.0013630662020905925</v>
      </c>
      <c r="M28" s="118">
        <f>'VMT Multipliers'!X$20</f>
        <v>0.10495609756097561</v>
      </c>
      <c r="N28" s="118">
        <f>'VMT Multipliers'!Y$20</f>
        <v>0.01622048780487805</v>
      </c>
      <c r="O28" s="118">
        <f>'VMT Multipliers'!Z$20</f>
        <v>0.01812878048780488</v>
      </c>
      <c r="P28" s="118">
        <f>'VMT Multipliers'!AA$20</f>
        <v>0.0012267595818815332</v>
      </c>
      <c r="Q28" s="26">
        <f t="shared" si="17"/>
        <v>950839.7582897559</v>
      </c>
      <c r="R28" s="27">
        <f t="shared" si="50"/>
        <v>0</v>
      </c>
      <c r="S28" s="28">
        <f t="shared" si="18"/>
        <v>950839.7582897559</v>
      </c>
      <c r="T28" s="26">
        <f t="shared" si="19"/>
        <v>1665327.9195189155</v>
      </c>
      <c r="U28" s="27">
        <f t="shared" si="20"/>
        <v>0</v>
      </c>
      <c r="V28" s="28">
        <f t="shared" si="21"/>
        <v>1665327.9195189155</v>
      </c>
      <c r="W28" s="26">
        <f t="shared" si="22"/>
        <v>104139.59257459233</v>
      </c>
      <c r="X28" s="27">
        <f t="shared" si="23"/>
        <v>0</v>
      </c>
      <c r="Y28" s="28">
        <f t="shared" si="24"/>
        <v>104139.59257459233</v>
      </c>
      <c r="Z28" s="26">
        <f t="shared" si="25"/>
        <v>406597.19187819096</v>
      </c>
      <c r="AA28" s="27">
        <f t="shared" si="26"/>
        <v>0</v>
      </c>
      <c r="AB28" s="28">
        <f t="shared" si="27"/>
        <v>406597.19187819096</v>
      </c>
      <c r="AC28" s="26">
        <f t="shared" si="28"/>
        <v>249029.46050445992</v>
      </c>
      <c r="AD28" s="27">
        <f t="shared" si="29"/>
        <v>0</v>
      </c>
      <c r="AE28" s="28">
        <f t="shared" si="30"/>
        <v>249029.46050445992</v>
      </c>
      <c r="AF28" s="20">
        <f t="shared" si="51"/>
        <v>1071542.4854838708</v>
      </c>
      <c r="AG28" s="20">
        <f t="shared" si="52"/>
        <v>0</v>
      </c>
      <c r="AH28" s="29">
        <f t="shared" si="53"/>
        <v>2207377.520096774</v>
      </c>
      <c r="AI28" s="29">
        <f t="shared" si="54"/>
        <v>-261456.36645806447</v>
      </c>
      <c r="AJ28" s="29">
        <f t="shared" si="55"/>
        <v>0</v>
      </c>
      <c r="AK28" s="33">
        <f t="shared" si="56"/>
        <v>99653451.14999999</v>
      </c>
      <c r="AL28" s="32">
        <f t="shared" si="57"/>
        <v>7136.1836368515</v>
      </c>
      <c r="AM28" s="68">
        <v>40.23</v>
      </c>
      <c r="AN28" s="29">
        <f t="shared" si="31"/>
        <v>287088.6677105358</v>
      </c>
      <c r="AO28" s="67">
        <f t="shared" si="3"/>
        <v>0.49193373633950943</v>
      </c>
      <c r="AP28" s="31">
        <f t="shared" si="32"/>
        <v>467750.15495563566</v>
      </c>
      <c r="AQ28" s="31">
        <f t="shared" si="33"/>
        <v>819230.985679442</v>
      </c>
      <c r="AR28" s="31">
        <f t="shared" si="34"/>
        <v>51229.778876093435</v>
      </c>
      <c r="AS28" s="31">
        <f t="shared" si="35"/>
        <v>200018.8757857909</v>
      </c>
      <c r="AT28" s="31">
        <f t="shared" si="36"/>
        <v>122505.99296457125</v>
      </c>
      <c r="AU28" s="86">
        <f t="shared" si="37"/>
        <v>1085883.4709730467</v>
      </c>
      <c r="AV28" s="86">
        <f t="shared" si="38"/>
        <v>-128619.20724146764</v>
      </c>
      <c r="AW28" s="86">
        <f t="shared" si="39"/>
        <v>0</v>
      </c>
      <c r="AX28" s="86">
        <f t="shared" si="40"/>
        <v>141228.60096757577</v>
      </c>
      <c r="AY28" s="67">
        <f t="shared" si="4"/>
        <v>0.19714661994879637</v>
      </c>
      <c r="AZ28" s="31">
        <f t="shared" si="41"/>
        <v>187454.8444597559</v>
      </c>
      <c r="BA28" s="31">
        <f t="shared" si="42"/>
        <v>328313.77043951536</v>
      </c>
      <c r="BB28" s="31">
        <f t="shared" si="43"/>
        <v>20530.76867892565</v>
      </c>
      <c r="BC28" s="31">
        <f t="shared" si="44"/>
        <v>80159.26205945754</v>
      </c>
      <c r="BD28" s="31">
        <f t="shared" si="45"/>
        <v>49095.316406126556</v>
      </c>
      <c r="BE28" s="86">
        <f t="shared" si="46"/>
        <v>435177.0170380354</v>
      </c>
      <c r="BF28" s="86">
        <f t="shared" si="47"/>
        <v>-51545.23891130127</v>
      </c>
      <c r="BG28" s="86">
        <f t="shared" si="48"/>
        <v>0</v>
      </c>
      <c r="BH28" s="86">
        <f t="shared" si="49"/>
        <v>56598.56046473529</v>
      </c>
      <c r="BI28" s="89"/>
      <c r="BJ28" s="14"/>
      <c r="BK28" s="15"/>
      <c r="BL28" s="88">
        <v>1500</v>
      </c>
      <c r="BM28" s="97">
        <f t="shared" si="14"/>
        <v>737.9006045092641</v>
      </c>
      <c r="BN28" s="96">
        <f t="shared" si="15"/>
        <v>295.71992992319457</v>
      </c>
    </row>
    <row r="29" spans="1:66" s="60" customFormat="1" ht="15">
      <c r="A29" s="71">
        <v>2040</v>
      </c>
      <c r="B29" s="15">
        <v>25</v>
      </c>
      <c r="C29" s="165">
        <f t="shared" si="58"/>
        <v>645813</v>
      </c>
      <c r="D29" s="108">
        <f t="shared" si="5"/>
        <v>0</v>
      </c>
      <c r="E29" s="47">
        <f t="shared" si="1"/>
        <v>6709997.069999999</v>
      </c>
      <c r="F29" s="48">
        <f t="shared" si="2"/>
        <v>0</v>
      </c>
      <c r="G29" s="120">
        <f>'VMT Multipliers'!W$21</f>
        <v>0.14312195121951218</v>
      </c>
      <c r="H29" s="120">
        <f>'VMT Multipliers'!X$21</f>
        <v>0.25066787456445994</v>
      </c>
      <c r="I29" s="120">
        <f>'VMT Multipliers'!Y$21</f>
        <v>0.015675261324041814</v>
      </c>
      <c r="J29" s="120">
        <f>'VMT Multipliers'!Z$21</f>
        <v>0.061201672473867604</v>
      </c>
      <c r="K29" s="120">
        <f>'VMT Multipliers'!AA$21</f>
        <v>0.03748432055749129</v>
      </c>
      <c r="L29" s="118">
        <f>'VMT Multipliers'!W$20</f>
        <v>0.0013630662020905925</v>
      </c>
      <c r="M29" s="118">
        <f>'VMT Multipliers'!X$20</f>
        <v>0.10495609756097561</v>
      </c>
      <c r="N29" s="118">
        <f>'VMT Multipliers'!Y$20</f>
        <v>0.01622048780487805</v>
      </c>
      <c r="O29" s="118">
        <f>'VMT Multipliers'!Z$20</f>
        <v>0.01812878048780488</v>
      </c>
      <c r="P29" s="118">
        <f>'VMT Multipliers'!AA$20</f>
        <v>0.0012267595818815332</v>
      </c>
      <c r="Q29" s="26">
        <f t="shared" si="17"/>
        <v>960347.8733356096</v>
      </c>
      <c r="R29" s="27">
        <f t="shared" si="50"/>
        <v>0</v>
      </c>
      <c r="S29" s="28">
        <f t="shared" si="18"/>
        <v>960347.8733356096</v>
      </c>
      <c r="T29" s="26">
        <f t="shared" si="19"/>
        <v>1681980.7038706536</v>
      </c>
      <c r="U29" s="27">
        <f t="shared" si="20"/>
        <v>0</v>
      </c>
      <c r="V29" s="28">
        <f t="shared" si="21"/>
        <v>1681980.7038706536</v>
      </c>
      <c r="W29" s="26">
        <f t="shared" si="22"/>
        <v>105180.95755580488</v>
      </c>
      <c r="X29" s="27">
        <f t="shared" si="23"/>
        <v>0</v>
      </c>
      <c r="Y29" s="28">
        <f t="shared" si="24"/>
        <v>105180.95755580488</v>
      </c>
      <c r="Z29" s="26">
        <f t="shared" si="25"/>
        <v>410663.04297875124</v>
      </c>
      <c r="AA29" s="27">
        <f t="shared" si="26"/>
        <v>0</v>
      </c>
      <c r="AB29" s="28">
        <f t="shared" si="27"/>
        <v>410663.04297875124</v>
      </c>
      <c r="AC29" s="26">
        <f t="shared" si="28"/>
        <v>251519.6811117073</v>
      </c>
      <c r="AD29" s="27">
        <f t="shared" si="29"/>
        <v>0</v>
      </c>
      <c r="AE29" s="28">
        <f t="shared" si="30"/>
        <v>251519.6811117073</v>
      </c>
      <c r="AF29" s="20">
        <f t="shared" si="51"/>
        <v>1082257.5919354837</v>
      </c>
      <c r="AG29" s="20">
        <f t="shared" si="52"/>
        <v>0</v>
      </c>
      <c r="AH29" s="29">
        <f t="shared" si="53"/>
        <v>2229450.6393870967</v>
      </c>
      <c r="AI29" s="29">
        <f t="shared" si="54"/>
        <v>-264070.852432258</v>
      </c>
      <c r="AJ29" s="29">
        <f t="shared" si="55"/>
        <v>0</v>
      </c>
      <c r="AK29" s="33">
        <f t="shared" si="56"/>
        <v>100649956.05</v>
      </c>
      <c r="AL29" s="32">
        <f t="shared" si="57"/>
        <v>7207.543352740499</v>
      </c>
      <c r="AM29" s="68">
        <v>40.8</v>
      </c>
      <c r="AN29" s="29">
        <f t="shared" si="31"/>
        <v>294067.76879181236</v>
      </c>
      <c r="AO29" s="67">
        <f t="shared" si="3"/>
        <v>0.47760556926165965</v>
      </c>
      <c r="AP29" s="31">
        <f t="shared" si="32"/>
        <v>458667.492733678</v>
      </c>
      <c r="AQ29" s="31">
        <f t="shared" si="33"/>
        <v>803323.3515592705</v>
      </c>
      <c r="AR29" s="31">
        <f t="shared" si="34"/>
        <v>50235.01110892665</v>
      </c>
      <c r="AS29" s="31">
        <f t="shared" si="35"/>
        <v>196134.9564165919</v>
      </c>
      <c r="AT29" s="31">
        <f t="shared" si="36"/>
        <v>120127.20047786807</v>
      </c>
      <c r="AU29" s="86">
        <f t="shared" si="37"/>
        <v>1064798.0417652454</v>
      </c>
      <c r="AV29" s="86">
        <f t="shared" si="38"/>
        <v>-126121.7098013203</v>
      </c>
      <c r="AW29" s="86">
        <f t="shared" si="39"/>
        <v>0</v>
      </c>
      <c r="AX29" s="86">
        <f t="shared" si="40"/>
        <v>140448.40411531966</v>
      </c>
      <c r="AY29" s="67">
        <f t="shared" si="4"/>
        <v>0.18424917752223957</v>
      </c>
      <c r="AZ29" s="31">
        <f t="shared" si="41"/>
        <v>176943.30579731797</v>
      </c>
      <c r="BA29" s="31">
        <f t="shared" si="42"/>
        <v>309903.56129644555</v>
      </c>
      <c r="BB29" s="31">
        <f t="shared" si="43"/>
        <v>19379.50492065864</v>
      </c>
      <c r="BC29" s="31">
        <f t="shared" si="44"/>
        <v>75664.32790761504</v>
      </c>
      <c r="BD29" s="31">
        <f t="shared" si="45"/>
        <v>46342.29437548805</v>
      </c>
      <c r="BE29" s="86">
        <f t="shared" si="46"/>
        <v>410774.4466335037</v>
      </c>
      <c r="BF29" s="86">
        <f t="shared" si="47"/>
        <v>-48654.83736824024</v>
      </c>
      <c r="BG29" s="86">
        <f t="shared" si="48"/>
        <v>0</v>
      </c>
      <c r="BH29" s="86">
        <f t="shared" si="49"/>
        <v>54181.744535691534</v>
      </c>
      <c r="BI29" s="89"/>
      <c r="BJ29" s="14"/>
      <c r="BK29" s="15"/>
      <c r="BL29" s="88">
        <f>2000000</f>
        <v>2000000</v>
      </c>
      <c r="BM29" s="97">
        <f t="shared" si="14"/>
        <v>955211.1385233193</v>
      </c>
      <c r="BN29" s="96">
        <f t="shared" si="15"/>
        <v>368498.35504447913</v>
      </c>
    </row>
    <row r="30" spans="1:66" s="60" customFormat="1" ht="15">
      <c r="A30" s="72">
        <v>2041</v>
      </c>
      <c r="B30" s="200">
        <v>26</v>
      </c>
      <c r="C30" s="165">
        <f t="shared" si="58"/>
        <v>652271</v>
      </c>
      <c r="D30" s="108">
        <f t="shared" si="5"/>
        <v>0</v>
      </c>
      <c r="E30" s="47">
        <f t="shared" si="1"/>
        <v>6777095.6899999995</v>
      </c>
      <c r="F30" s="48">
        <f t="shared" si="2"/>
        <v>0</v>
      </c>
      <c r="G30" s="120">
        <f>'VMT Multipliers'!W$21</f>
        <v>0.14312195121951218</v>
      </c>
      <c r="H30" s="120">
        <f>'VMT Multipliers'!X$21</f>
        <v>0.25066787456445994</v>
      </c>
      <c r="I30" s="120">
        <f>'VMT Multipliers'!Y$21</f>
        <v>0.015675261324041814</v>
      </c>
      <c r="J30" s="120">
        <f>'VMT Multipliers'!Z$21</f>
        <v>0.061201672473867604</v>
      </c>
      <c r="K30" s="120">
        <f>'VMT Multipliers'!AA$21</f>
        <v>0.03748432055749129</v>
      </c>
      <c r="L30" s="118">
        <f>'VMT Multipliers'!W$20</f>
        <v>0.0013630662020905925</v>
      </c>
      <c r="M30" s="118">
        <f>'VMT Multipliers'!X$20</f>
        <v>0.10495609756097561</v>
      </c>
      <c r="N30" s="118">
        <f>'VMT Multipliers'!Y$20</f>
        <v>0.01622048780487805</v>
      </c>
      <c r="O30" s="118">
        <f>'VMT Multipliers'!Z$20</f>
        <v>0.01812878048780488</v>
      </c>
      <c r="P30" s="118">
        <f>'VMT Multipliers'!AA$20</f>
        <v>0.0012267595818815332</v>
      </c>
      <c r="Q30" s="26">
        <f t="shared" si="17"/>
        <v>969951.1587541462</v>
      </c>
      <c r="R30" s="27">
        <f t="shared" si="50"/>
        <v>0</v>
      </c>
      <c r="S30" s="28">
        <f t="shared" si="18"/>
        <v>969951.1587541462</v>
      </c>
      <c r="T30" s="26">
        <f t="shared" si="19"/>
        <v>1698800.172332262</v>
      </c>
      <c r="U30" s="27">
        <f t="shared" si="20"/>
        <v>0</v>
      </c>
      <c r="V30" s="28">
        <f t="shared" si="21"/>
        <v>1698800.172332262</v>
      </c>
      <c r="W30" s="26">
        <f t="shared" si="22"/>
        <v>106232.74595878746</v>
      </c>
      <c r="X30" s="27">
        <f t="shared" si="23"/>
        <v>0</v>
      </c>
      <c r="Y30" s="28">
        <f t="shared" si="24"/>
        <v>106232.74595878746</v>
      </c>
      <c r="Z30" s="26">
        <f t="shared" si="25"/>
        <v>414769.59074343974</v>
      </c>
      <c r="AA30" s="27">
        <f t="shared" si="26"/>
        <v>0</v>
      </c>
      <c r="AB30" s="28">
        <f t="shared" si="27"/>
        <v>414769.59074343974</v>
      </c>
      <c r="AC30" s="26">
        <f t="shared" si="28"/>
        <v>254034.8272927526</v>
      </c>
      <c r="AD30" s="27">
        <f t="shared" si="29"/>
        <v>0</v>
      </c>
      <c r="AE30" s="28">
        <f t="shared" si="30"/>
        <v>254034.8272927526</v>
      </c>
      <c r="AF30" s="20">
        <f t="shared" si="51"/>
        <v>1093079.95</v>
      </c>
      <c r="AG30" s="20">
        <f t="shared" si="52"/>
        <v>0</v>
      </c>
      <c r="AH30" s="29">
        <f t="shared" si="53"/>
        <v>2251744.697</v>
      </c>
      <c r="AI30" s="29">
        <f t="shared" si="54"/>
        <v>-266711.50779999996</v>
      </c>
      <c r="AJ30" s="29">
        <f t="shared" si="55"/>
        <v>0</v>
      </c>
      <c r="AK30" s="33">
        <f t="shared" si="56"/>
        <v>101656435.35</v>
      </c>
      <c r="AL30" s="32">
        <f t="shared" si="57"/>
        <v>7279.6173354135</v>
      </c>
      <c r="AM30" s="68">
        <v>41.37</v>
      </c>
      <c r="AN30" s="29">
        <f t="shared" si="31"/>
        <v>301157.7691660565</v>
      </c>
      <c r="AO30" s="67">
        <f t="shared" si="3"/>
        <v>0.4636947274385045</v>
      </c>
      <c r="AP30" s="31">
        <f t="shared" si="32"/>
        <v>449761.2381871654</v>
      </c>
      <c r="AQ30" s="31">
        <f t="shared" si="33"/>
        <v>787724.6828820927</v>
      </c>
      <c r="AR30" s="31">
        <f t="shared" si="34"/>
        <v>49259.56418240384</v>
      </c>
      <c r="AS30" s="31">
        <f t="shared" si="35"/>
        <v>192326.47232955933</v>
      </c>
      <c r="AT30" s="31">
        <f t="shared" si="36"/>
        <v>117794.61000140048</v>
      </c>
      <c r="AU30" s="86">
        <f t="shared" si="37"/>
        <v>1044122.143536513</v>
      </c>
      <c r="AV30" s="86">
        <f t="shared" si="38"/>
        <v>-123672.71991403354</v>
      </c>
      <c r="AW30" s="86">
        <f t="shared" si="39"/>
        <v>0</v>
      </c>
      <c r="AX30" s="86">
        <f t="shared" si="40"/>
        <v>139645.26968944262</v>
      </c>
      <c r="AY30" s="67">
        <f t="shared" si="4"/>
        <v>0.17219549301143888</v>
      </c>
      <c r="AZ30" s="31">
        <f t="shared" si="41"/>
        <v>167021.21797868662</v>
      </c>
      <c r="BA30" s="31">
        <f t="shared" si="42"/>
        <v>292525.73320267117</v>
      </c>
      <c r="BB30" s="31">
        <f t="shared" si="43"/>
        <v>18292.80006433235</v>
      </c>
      <c r="BC30" s="31">
        <f t="shared" si="44"/>
        <v>71421.45416421934</v>
      </c>
      <c r="BD30" s="31">
        <f t="shared" si="45"/>
        <v>43743.65232775126</v>
      </c>
      <c r="BE30" s="86">
        <f t="shared" si="46"/>
        <v>387740.2882358081</v>
      </c>
      <c r="BF30" s="86">
        <f t="shared" si="47"/>
        <v>-45926.51957744522</v>
      </c>
      <c r="BG30" s="86">
        <f t="shared" si="48"/>
        <v>0</v>
      </c>
      <c r="BH30" s="86">
        <f t="shared" si="49"/>
        <v>51858.0105357742</v>
      </c>
      <c r="BI30" s="89"/>
      <c r="BJ30" s="14"/>
      <c r="BK30" s="15"/>
      <c r="BL30" s="88">
        <v>1000</v>
      </c>
      <c r="BM30" s="97">
        <f t="shared" si="14"/>
        <v>463.69472743850446</v>
      </c>
      <c r="BN30" s="96">
        <f t="shared" si="15"/>
        <v>172.19549301143888</v>
      </c>
    </row>
    <row r="31" spans="1:66" s="60" customFormat="1" ht="15">
      <c r="A31" s="71">
        <v>2042</v>
      </c>
      <c r="B31" s="15">
        <v>27</v>
      </c>
      <c r="C31" s="165">
        <f t="shared" si="58"/>
        <v>658794</v>
      </c>
      <c r="D31" s="108">
        <f t="shared" si="5"/>
        <v>0</v>
      </c>
      <c r="E31" s="47">
        <f t="shared" si="1"/>
        <v>6844869.659999999</v>
      </c>
      <c r="F31" s="48">
        <f t="shared" si="2"/>
        <v>0</v>
      </c>
      <c r="G31" s="120">
        <f>'VMT Multipliers'!W$21</f>
        <v>0.14312195121951218</v>
      </c>
      <c r="H31" s="120">
        <f>'VMT Multipliers'!X$21</f>
        <v>0.25066787456445994</v>
      </c>
      <c r="I31" s="120">
        <f>'VMT Multipliers'!Y$21</f>
        <v>0.015675261324041814</v>
      </c>
      <c r="J31" s="120">
        <f>'VMT Multipliers'!Z$21</f>
        <v>0.061201672473867604</v>
      </c>
      <c r="K31" s="120">
        <f>'VMT Multipliers'!AA$21</f>
        <v>0.03748432055749129</v>
      </c>
      <c r="L31" s="118">
        <f>'VMT Multipliers'!W$20</f>
        <v>0.0013630662020905925</v>
      </c>
      <c r="M31" s="118">
        <f>'VMT Multipliers'!X$20</f>
        <v>0.10495609756097561</v>
      </c>
      <c r="N31" s="118">
        <f>'VMT Multipliers'!Y$20</f>
        <v>0.01622048780487805</v>
      </c>
      <c r="O31" s="118">
        <f>'VMT Multipliers'!Z$20</f>
        <v>0.01812878048780488</v>
      </c>
      <c r="P31" s="118">
        <f>'VMT Multipliers'!AA$20</f>
        <v>0.0012267595818815332</v>
      </c>
      <c r="Q31" s="26">
        <f t="shared" si="17"/>
        <v>979651.1015824388</v>
      </c>
      <c r="R31" s="27">
        <f t="shared" si="50"/>
        <v>0</v>
      </c>
      <c r="S31" s="28">
        <f t="shared" si="18"/>
        <v>979651.1015824388</v>
      </c>
      <c r="T31" s="26">
        <f t="shared" si="19"/>
        <v>1715788.9293429574</v>
      </c>
      <c r="U31" s="27">
        <f t="shared" si="20"/>
        <v>0</v>
      </c>
      <c r="V31" s="28">
        <f t="shared" si="21"/>
        <v>1715788.9293429574</v>
      </c>
      <c r="W31" s="26">
        <f t="shared" si="22"/>
        <v>107295.12064950523</v>
      </c>
      <c r="X31" s="27">
        <f t="shared" si="23"/>
        <v>0</v>
      </c>
      <c r="Y31" s="28">
        <f t="shared" si="24"/>
        <v>107295.12064950523</v>
      </c>
      <c r="Z31" s="26">
        <f t="shared" si="25"/>
        <v>418917.47105763346</v>
      </c>
      <c r="AA31" s="27">
        <f t="shared" si="26"/>
        <v>0</v>
      </c>
      <c r="AB31" s="28">
        <f t="shared" si="27"/>
        <v>418917.47105763346</v>
      </c>
      <c r="AC31" s="26">
        <f t="shared" si="28"/>
        <v>256575.2885096864</v>
      </c>
      <c r="AD31" s="27">
        <f t="shared" si="29"/>
        <v>0</v>
      </c>
      <c r="AE31" s="28">
        <f t="shared" si="30"/>
        <v>256575.2885096864</v>
      </c>
      <c r="AF31" s="20">
        <f t="shared" si="51"/>
        <v>1104011.2354838708</v>
      </c>
      <c r="AG31" s="20">
        <f t="shared" si="52"/>
        <v>0</v>
      </c>
      <c r="AH31" s="29">
        <f t="shared" si="53"/>
        <v>2274263.145096774</v>
      </c>
      <c r="AI31" s="29">
        <f t="shared" si="54"/>
        <v>-269378.74145806447</v>
      </c>
      <c r="AJ31" s="29">
        <f t="shared" si="55"/>
        <v>0</v>
      </c>
      <c r="AK31" s="33">
        <f t="shared" si="56"/>
        <v>102673044.89999999</v>
      </c>
      <c r="AL31" s="32">
        <f t="shared" si="57"/>
        <v>7352.416745289</v>
      </c>
      <c r="AM31" s="68">
        <v>41.94</v>
      </c>
      <c r="AN31" s="29">
        <f t="shared" si="31"/>
        <v>308360.3582974206</v>
      </c>
      <c r="AO31" s="67">
        <f t="shared" si="3"/>
        <v>0.45018905576553836</v>
      </c>
      <c r="AP31" s="31">
        <f t="shared" si="32"/>
        <v>441028.20440106763</v>
      </c>
      <c r="AQ31" s="31">
        <f t="shared" si="33"/>
        <v>772429.3979938701</v>
      </c>
      <c r="AR31" s="31">
        <f t="shared" si="34"/>
        <v>48303.089053450276</v>
      </c>
      <c r="AS31" s="31">
        <f t="shared" si="35"/>
        <v>188592.06073912326</v>
      </c>
      <c r="AT31" s="31">
        <f t="shared" si="36"/>
        <v>115507.3868669463</v>
      </c>
      <c r="AU31" s="86">
        <f t="shared" si="37"/>
        <v>1023848.3778534804</v>
      </c>
      <c r="AV31" s="86">
        <f t="shared" si="38"/>
        <v>-121271.36126031513</v>
      </c>
      <c r="AW31" s="86">
        <f t="shared" si="39"/>
        <v>0</v>
      </c>
      <c r="AX31" s="86">
        <f t="shared" si="40"/>
        <v>138820.45853743888</v>
      </c>
      <c r="AY31" s="67">
        <f t="shared" si="4"/>
        <v>0.16093036730041013</v>
      </c>
      <c r="AZ31" s="31">
        <f t="shared" si="41"/>
        <v>157655.61160391328</v>
      </c>
      <c r="BA31" s="31">
        <f t="shared" si="42"/>
        <v>276122.5426091396</v>
      </c>
      <c r="BB31" s="31">
        <f t="shared" si="43"/>
        <v>17267.0431756667</v>
      </c>
      <c r="BC31" s="31">
        <f t="shared" si="44"/>
        <v>67416.54248586389</v>
      </c>
      <c r="BD31" s="31">
        <f t="shared" si="45"/>
        <v>41290.75542007253</v>
      </c>
      <c r="BE31" s="86">
        <f t="shared" si="46"/>
        <v>365998.0032782098</v>
      </c>
      <c r="BF31" s="86">
        <f t="shared" si="47"/>
        <v>-43351.21980576853</v>
      </c>
      <c r="BG31" s="86">
        <f t="shared" si="48"/>
        <v>0</v>
      </c>
      <c r="BH31" s="86">
        <f t="shared" si="49"/>
        <v>49624.54572168997</v>
      </c>
      <c r="BI31" s="89"/>
      <c r="BJ31" s="14"/>
      <c r="BK31" s="15"/>
      <c r="BL31" s="88">
        <v>1000</v>
      </c>
      <c r="BM31" s="97">
        <f t="shared" si="14"/>
        <v>450.18905576553834</v>
      </c>
      <c r="BN31" s="96">
        <f t="shared" si="15"/>
        <v>160.93036730041013</v>
      </c>
    </row>
    <row r="32" spans="1:66" s="60" customFormat="1" ht="15">
      <c r="A32" s="72">
        <v>2043</v>
      </c>
      <c r="B32" s="200">
        <v>28</v>
      </c>
      <c r="C32" s="165">
        <f t="shared" si="58"/>
        <v>665382</v>
      </c>
      <c r="D32" s="108">
        <f t="shared" si="5"/>
        <v>0</v>
      </c>
      <c r="E32" s="47">
        <f t="shared" si="1"/>
        <v>6913318.9799999995</v>
      </c>
      <c r="F32" s="48">
        <f t="shared" si="2"/>
        <v>0</v>
      </c>
      <c r="G32" s="120">
        <f>'VMT Multipliers'!W$21</f>
        <v>0.14312195121951218</v>
      </c>
      <c r="H32" s="120">
        <f>'VMT Multipliers'!X$21</f>
        <v>0.25066787456445994</v>
      </c>
      <c r="I32" s="120">
        <f>'VMT Multipliers'!Y$21</f>
        <v>0.015675261324041814</v>
      </c>
      <c r="J32" s="120">
        <f>'VMT Multipliers'!Z$21</f>
        <v>0.061201672473867604</v>
      </c>
      <c r="K32" s="120">
        <f>'VMT Multipliers'!AA$21</f>
        <v>0.03748432055749129</v>
      </c>
      <c r="L32" s="118">
        <f>'VMT Multipliers'!W$20</f>
        <v>0.0013630662020905925</v>
      </c>
      <c r="M32" s="118">
        <f>'VMT Multipliers'!X$20</f>
        <v>0.10495609756097561</v>
      </c>
      <c r="N32" s="118">
        <f>'VMT Multipliers'!Y$20</f>
        <v>0.01622048780487805</v>
      </c>
      <c r="O32" s="118">
        <f>'VMT Multipliers'!Z$20</f>
        <v>0.01812878048780488</v>
      </c>
      <c r="P32" s="118">
        <f>'VMT Multipliers'!AA$20</f>
        <v>0.0012267595818815332</v>
      </c>
      <c r="Q32" s="26">
        <f t="shared" si="17"/>
        <v>989447.7018204876</v>
      </c>
      <c r="R32" s="27">
        <f t="shared" si="50"/>
        <v>0</v>
      </c>
      <c r="S32" s="28">
        <f t="shared" si="18"/>
        <v>989447.7018204876</v>
      </c>
      <c r="T32" s="26">
        <f t="shared" si="19"/>
        <v>1732946.97490274</v>
      </c>
      <c r="U32" s="27">
        <f t="shared" si="20"/>
        <v>0</v>
      </c>
      <c r="V32" s="28">
        <f t="shared" si="21"/>
        <v>1732946.97490274</v>
      </c>
      <c r="W32" s="26">
        <f t="shared" si="22"/>
        <v>108368.08162795819</v>
      </c>
      <c r="X32" s="27">
        <f t="shared" si="23"/>
        <v>0</v>
      </c>
      <c r="Y32" s="28">
        <f t="shared" si="24"/>
        <v>108368.08162795819</v>
      </c>
      <c r="Z32" s="26">
        <f t="shared" si="25"/>
        <v>423106.6839213324</v>
      </c>
      <c r="AA32" s="27">
        <f t="shared" si="26"/>
        <v>0</v>
      </c>
      <c r="AB32" s="28">
        <f t="shared" si="27"/>
        <v>423106.6839213324</v>
      </c>
      <c r="AC32" s="26">
        <f t="shared" si="28"/>
        <v>259141.0647625087</v>
      </c>
      <c r="AD32" s="27">
        <f t="shared" si="29"/>
        <v>0</v>
      </c>
      <c r="AE32" s="28">
        <f t="shared" si="30"/>
        <v>259141.0647625087</v>
      </c>
      <c r="AF32" s="20">
        <f t="shared" si="51"/>
        <v>1115051.4483870966</v>
      </c>
      <c r="AG32" s="20">
        <f t="shared" si="52"/>
        <v>0</v>
      </c>
      <c r="AH32" s="29">
        <f t="shared" si="53"/>
        <v>2297005.983677419</v>
      </c>
      <c r="AI32" s="29">
        <f t="shared" si="54"/>
        <v>-272072.5534064516</v>
      </c>
      <c r="AJ32" s="29">
        <f t="shared" si="55"/>
        <v>0</v>
      </c>
      <c r="AK32" s="33">
        <f t="shared" si="56"/>
        <v>103699784.69999999</v>
      </c>
      <c r="AL32" s="32">
        <f t="shared" si="57"/>
        <v>7425.941582366999</v>
      </c>
      <c r="AM32" s="68">
        <v>42.51</v>
      </c>
      <c r="AN32" s="29">
        <f t="shared" si="31"/>
        <v>315676.7766664211</v>
      </c>
      <c r="AO32" s="67">
        <f t="shared" si="3"/>
        <v>0.4370767531704256</v>
      </c>
      <c r="AP32" s="31">
        <f t="shared" si="32"/>
        <v>432464.58894363814</v>
      </c>
      <c r="AQ32" s="31">
        <f t="shared" si="33"/>
        <v>757430.8372070006</v>
      </c>
      <c r="AR32" s="31">
        <f t="shared" si="34"/>
        <v>47365.169265255616</v>
      </c>
      <c r="AS32" s="31">
        <f t="shared" si="35"/>
        <v>184930.0956530415</v>
      </c>
      <c r="AT32" s="31">
        <f t="shared" si="36"/>
        <v>113264.5351995243</v>
      </c>
      <c r="AU32" s="86">
        <f t="shared" si="37"/>
        <v>1003967.9173587658</v>
      </c>
      <c r="AV32" s="86">
        <f t="shared" si="38"/>
        <v>-118916.58826967908</v>
      </c>
      <c r="AW32" s="86">
        <f t="shared" si="39"/>
        <v>0</v>
      </c>
      <c r="AX32" s="86">
        <f t="shared" si="40"/>
        <v>137974.98059666491</v>
      </c>
      <c r="AY32" s="67">
        <f t="shared" si="4"/>
        <v>0.15040221243028987</v>
      </c>
      <c r="AZ32" s="31">
        <f t="shared" si="41"/>
        <v>148815.1234378671</v>
      </c>
      <c r="BA32" s="31">
        <f t="shared" si="42"/>
        <v>260639.0590497501</v>
      </c>
      <c r="BB32" s="31">
        <f t="shared" si="43"/>
        <v>16298.799233671161</v>
      </c>
      <c r="BC32" s="31">
        <f t="shared" si="44"/>
        <v>63636.18135581175</v>
      </c>
      <c r="BD32" s="31">
        <f t="shared" si="45"/>
        <v>38975.38947182234</v>
      </c>
      <c r="BE32" s="86">
        <f t="shared" si="46"/>
        <v>345474.7819106981</v>
      </c>
      <c r="BF32" s="86">
        <f t="shared" si="47"/>
        <v>-40920.313973888515</v>
      </c>
      <c r="BG32" s="86">
        <f t="shared" si="48"/>
        <v>0</v>
      </c>
      <c r="BH32" s="86">
        <f t="shared" si="49"/>
        <v>47478.48562349223</v>
      </c>
      <c r="BI32" s="89"/>
      <c r="BJ32" s="14"/>
      <c r="BK32" s="15"/>
      <c r="BL32" s="88">
        <v>1000</v>
      </c>
      <c r="BM32" s="97">
        <f t="shared" si="14"/>
        <v>437.0767531704256</v>
      </c>
      <c r="BN32" s="96">
        <f t="shared" si="15"/>
        <v>150.40221243028986</v>
      </c>
    </row>
    <row r="33" spans="1:66" s="60" customFormat="1" ht="15">
      <c r="A33" s="71">
        <v>2044</v>
      </c>
      <c r="B33" s="15">
        <v>29</v>
      </c>
      <c r="C33" s="165">
        <f t="shared" si="58"/>
        <v>672036</v>
      </c>
      <c r="D33" s="108">
        <f t="shared" si="5"/>
        <v>0</v>
      </c>
      <c r="E33" s="47">
        <f t="shared" si="1"/>
        <v>6982454.039999999</v>
      </c>
      <c r="F33" s="48">
        <f t="shared" si="2"/>
        <v>0</v>
      </c>
      <c r="G33" s="120">
        <f>'VMT Multipliers'!W$21</f>
        <v>0.14312195121951218</v>
      </c>
      <c r="H33" s="120">
        <f>'VMT Multipliers'!X$21</f>
        <v>0.25066787456445994</v>
      </c>
      <c r="I33" s="120">
        <f>'VMT Multipliers'!Y$21</f>
        <v>0.015675261324041814</v>
      </c>
      <c r="J33" s="120">
        <f>'VMT Multipliers'!Z$21</f>
        <v>0.061201672473867604</v>
      </c>
      <c r="K33" s="120">
        <f>'VMT Multipliers'!AA$21</f>
        <v>0.03748432055749129</v>
      </c>
      <c r="L33" s="118">
        <f>'VMT Multipliers'!W$20</f>
        <v>0.0013630662020905925</v>
      </c>
      <c r="M33" s="118">
        <f>'VMT Multipliers'!X$20</f>
        <v>0.10495609756097561</v>
      </c>
      <c r="N33" s="118">
        <f>'VMT Multipliers'!Y$20</f>
        <v>0.01622048780487805</v>
      </c>
      <c r="O33" s="118">
        <f>'VMT Multipliers'!Z$20</f>
        <v>0.01812878048780488</v>
      </c>
      <c r="P33" s="118">
        <f>'VMT Multipliers'!AA$20</f>
        <v>0.0012267595818815332</v>
      </c>
      <c r="Q33" s="26">
        <f t="shared" si="17"/>
        <v>999342.4465053657</v>
      </c>
      <c r="R33" s="27">
        <f t="shared" si="50"/>
        <v>0</v>
      </c>
      <c r="S33" s="28">
        <f t="shared" si="18"/>
        <v>999342.4465053657</v>
      </c>
      <c r="T33" s="26">
        <f t="shared" si="19"/>
        <v>1750276.9134508262</v>
      </c>
      <c r="U33" s="27">
        <f t="shared" si="20"/>
        <v>0</v>
      </c>
      <c r="V33" s="28">
        <f t="shared" si="21"/>
        <v>1750276.9134508262</v>
      </c>
      <c r="W33" s="26">
        <f t="shared" si="22"/>
        <v>109451.79176011149</v>
      </c>
      <c r="X33" s="27">
        <f t="shared" si="23"/>
        <v>0</v>
      </c>
      <c r="Y33" s="28">
        <f t="shared" si="24"/>
        <v>109451.79176011149</v>
      </c>
      <c r="Z33" s="26">
        <f t="shared" si="25"/>
        <v>427337.8652199136</v>
      </c>
      <c r="AA33" s="27">
        <f t="shared" si="26"/>
        <v>0</v>
      </c>
      <c r="AB33" s="28">
        <f t="shared" si="27"/>
        <v>427337.8652199136</v>
      </c>
      <c r="AC33" s="26">
        <f t="shared" si="28"/>
        <v>261732.5455133101</v>
      </c>
      <c r="AD33" s="27">
        <f t="shared" si="29"/>
        <v>0</v>
      </c>
      <c r="AE33" s="28">
        <f t="shared" si="30"/>
        <v>261732.5455133101</v>
      </c>
      <c r="AF33" s="20">
        <f t="shared" si="51"/>
        <v>1126202.264516129</v>
      </c>
      <c r="AG33" s="20">
        <f t="shared" si="52"/>
        <v>0</v>
      </c>
      <c r="AH33" s="29">
        <f t="shared" si="53"/>
        <v>2319976.664903226</v>
      </c>
      <c r="AI33" s="29">
        <f t="shared" si="54"/>
        <v>-274793.35254193546</v>
      </c>
      <c r="AJ33" s="29">
        <f t="shared" si="55"/>
        <v>0</v>
      </c>
      <c r="AK33" s="33">
        <f t="shared" si="56"/>
        <v>104736810.6</v>
      </c>
      <c r="AL33" s="32">
        <f t="shared" si="57"/>
        <v>7500.203007066</v>
      </c>
      <c r="AM33" s="68">
        <v>43.08</v>
      </c>
      <c r="AN33" s="29">
        <f t="shared" si="31"/>
        <v>323108.74554440327</v>
      </c>
      <c r="AO33" s="67">
        <f t="shared" si="3"/>
        <v>0.4243463623013841</v>
      </c>
      <c r="AP33" s="31">
        <f t="shared" si="32"/>
        <v>424067.3318679175</v>
      </c>
      <c r="AQ33" s="31">
        <f t="shared" si="33"/>
        <v>742723.6412429527</v>
      </c>
      <c r="AR33" s="31">
        <f t="shared" si="34"/>
        <v>46445.469680771916</v>
      </c>
      <c r="AS33" s="31">
        <f t="shared" si="35"/>
        <v>181339.26857970952</v>
      </c>
      <c r="AT33" s="31">
        <f t="shared" si="36"/>
        <v>111065.2535844546</v>
      </c>
      <c r="AU33" s="86">
        <f t="shared" si="37"/>
        <v>984473.658375781</v>
      </c>
      <c r="AV33" s="86">
        <f t="shared" si="38"/>
        <v>-116607.55953577212</v>
      </c>
      <c r="AW33" s="86">
        <f t="shared" si="39"/>
        <v>0</v>
      </c>
      <c r="AX33" s="86">
        <f t="shared" si="40"/>
        <v>137110.02079953108</v>
      </c>
      <c r="AY33" s="67">
        <f t="shared" si="4"/>
        <v>0.1405628153554111</v>
      </c>
      <c r="AZ33" s="31">
        <f t="shared" si="41"/>
        <v>140470.3877849585</v>
      </c>
      <c r="BA33" s="31">
        <f t="shared" si="42"/>
        <v>246023.85060622732</v>
      </c>
      <c r="BB33" s="31">
        <f t="shared" si="43"/>
        <v>15384.851995495457</v>
      </c>
      <c r="BC33" s="31">
        <f t="shared" si="44"/>
        <v>60067.81344328227</v>
      </c>
      <c r="BD33" s="31">
        <f t="shared" si="45"/>
        <v>36789.86346748914</v>
      </c>
      <c r="BE33" s="86">
        <f t="shared" si="46"/>
        <v>326102.4515776546</v>
      </c>
      <c r="BF33" s="86">
        <f t="shared" si="47"/>
        <v>-38625.72727424646</v>
      </c>
      <c r="BG33" s="86">
        <f t="shared" si="48"/>
        <v>0</v>
      </c>
      <c r="BH33" s="86">
        <f t="shared" si="49"/>
        <v>45417.074939676466</v>
      </c>
      <c r="BI33" s="89"/>
      <c r="BJ33" s="14"/>
      <c r="BK33" s="15"/>
      <c r="BL33" s="88">
        <v>1000</v>
      </c>
      <c r="BM33" s="97">
        <f t="shared" si="14"/>
        <v>424.3463623013841</v>
      </c>
      <c r="BN33" s="96">
        <f t="shared" si="15"/>
        <v>140.5628153554111</v>
      </c>
    </row>
    <row r="34" spans="1:66" s="60" customFormat="1" ht="15">
      <c r="A34" s="72">
        <v>2045</v>
      </c>
      <c r="B34" s="200">
        <v>30</v>
      </c>
      <c r="C34" s="165">
        <f t="shared" si="58"/>
        <v>678756</v>
      </c>
      <c r="D34" s="108">
        <f t="shared" si="5"/>
        <v>0</v>
      </c>
      <c r="E34" s="47">
        <f t="shared" si="1"/>
        <v>7052274.839999999</v>
      </c>
      <c r="F34" s="48">
        <f t="shared" si="2"/>
        <v>0</v>
      </c>
      <c r="G34" s="120">
        <f>'VMT Multipliers'!W$21</f>
        <v>0.14312195121951218</v>
      </c>
      <c r="H34" s="120">
        <f>'VMT Multipliers'!X$21</f>
        <v>0.25066787456445994</v>
      </c>
      <c r="I34" s="120">
        <f>'VMT Multipliers'!Y$21</f>
        <v>0.015675261324041814</v>
      </c>
      <c r="J34" s="120">
        <f>'VMT Multipliers'!Z$21</f>
        <v>0.061201672473867604</v>
      </c>
      <c r="K34" s="120">
        <f>'VMT Multipliers'!AA$21</f>
        <v>0.03748432055749129</v>
      </c>
      <c r="L34" s="118">
        <f>'VMT Multipliers'!W$20</f>
        <v>0.0013630662020905925</v>
      </c>
      <c r="M34" s="118">
        <f>'VMT Multipliers'!X$20</f>
        <v>0.10495609756097561</v>
      </c>
      <c r="N34" s="118">
        <f>'VMT Multipliers'!Y$20</f>
        <v>0.01622048780487805</v>
      </c>
      <c r="O34" s="118">
        <f>'VMT Multipliers'!Z$20</f>
        <v>0.01812878048780488</v>
      </c>
      <c r="P34" s="118">
        <f>'VMT Multipliers'!AA$20</f>
        <v>0.0012267595818815332</v>
      </c>
      <c r="Q34" s="26">
        <f t="shared" si="17"/>
        <v>1009335.3356370729</v>
      </c>
      <c r="R34" s="27">
        <f t="shared" si="50"/>
        <v>0</v>
      </c>
      <c r="S34" s="28">
        <f t="shared" si="18"/>
        <v>1009335.3356370729</v>
      </c>
      <c r="T34" s="26">
        <f t="shared" si="19"/>
        <v>1767778.7449872165</v>
      </c>
      <c r="U34" s="27">
        <f t="shared" si="20"/>
        <v>0</v>
      </c>
      <c r="V34" s="28">
        <f t="shared" si="21"/>
        <v>1767778.7449872165</v>
      </c>
      <c r="W34" s="26">
        <f t="shared" si="22"/>
        <v>110546.25104596515</v>
      </c>
      <c r="X34" s="27">
        <f t="shared" si="23"/>
        <v>0</v>
      </c>
      <c r="Y34" s="28">
        <f t="shared" si="24"/>
        <v>110546.25104596515</v>
      </c>
      <c r="Z34" s="26">
        <f t="shared" si="25"/>
        <v>431611.014953377</v>
      </c>
      <c r="AA34" s="27">
        <f t="shared" si="26"/>
        <v>0</v>
      </c>
      <c r="AB34" s="28">
        <f t="shared" si="27"/>
        <v>431611.014953377</v>
      </c>
      <c r="AC34" s="26">
        <f t="shared" si="28"/>
        <v>264349.73076209053</v>
      </c>
      <c r="AD34" s="27">
        <f t="shared" si="29"/>
        <v>0</v>
      </c>
      <c r="AE34" s="28">
        <f t="shared" si="30"/>
        <v>264349.73076209053</v>
      </c>
      <c r="AF34" s="20">
        <f t="shared" si="51"/>
        <v>1137463.6838709675</v>
      </c>
      <c r="AG34" s="20">
        <f t="shared" si="52"/>
        <v>0</v>
      </c>
      <c r="AH34" s="29">
        <f t="shared" si="53"/>
        <v>2343175.188774193</v>
      </c>
      <c r="AI34" s="29">
        <f t="shared" si="54"/>
        <v>-277541.13886451605</v>
      </c>
      <c r="AJ34" s="29">
        <f t="shared" si="55"/>
        <v>0</v>
      </c>
      <c r="AK34" s="33">
        <f t="shared" si="56"/>
        <v>105784122.59999998</v>
      </c>
      <c r="AL34" s="32">
        <f t="shared" si="57"/>
        <v>7575.201019385999</v>
      </c>
      <c r="AM34" s="68">
        <v>43.65</v>
      </c>
      <c r="AN34" s="29">
        <f t="shared" si="31"/>
        <v>330657.5244961988</v>
      </c>
      <c r="AO34" s="67">
        <f t="shared" si="3"/>
        <v>0.4119867595159069</v>
      </c>
      <c r="AP34" s="31">
        <f t="shared" si="32"/>
        <v>415832.79419401794</v>
      </c>
      <c r="AQ34" s="31">
        <f t="shared" si="33"/>
        <v>728301.4366883801</v>
      </c>
      <c r="AR34" s="31">
        <f t="shared" si="34"/>
        <v>45543.591745059115</v>
      </c>
      <c r="AS34" s="31">
        <f t="shared" si="35"/>
        <v>177818.02342201344</v>
      </c>
      <c r="AT34" s="31">
        <f t="shared" si="36"/>
        <v>108908.58895557614</v>
      </c>
      <c r="AU34" s="86">
        <f t="shared" si="37"/>
        <v>965357.1530011533</v>
      </c>
      <c r="AV34" s="86">
        <f t="shared" si="38"/>
        <v>-114343.2744331463</v>
      </c>
      <c r="AW34" s="86">
        <f t="shared" si="39"/>
        <v>0</v>
      </c>
      <c r="AX34" s="86">
        <f t="shared" si="40"/>
        <v>136226.52202674057</v>
      </c>
      <c r="AY34" s="67">
        <f t="shared" si="4"/>
        <v>0.13136711715458982</v>
      </c>
      <c r="AZ34" s="31">
        <f t="shared" si="41"/>
        <v>132593.4732849026</v>
      </c>
      <c r="BA34" s="31">
        <f t="shared" si="42"/>
        <v>232227.99749612942</v>
      </c>
      <c r="BB34" s="31">
        <f t="shared" si="43"/>
        <v>14522.142312156002</v>
      </c>
      <c r="BC34" s="31">
        <f t="shared" si="44"/>
        <v>56699.4947665917</v>
      </c>
      <c r="BD34" s="31">
        <f t="shared" si="45"/>
        <v>34726.862050807824</v>
      </c>
      <c r="BE34" s="86">
        <f t="shared" si="46"/>
        <v>307816.16953742754</v>
      </c>
      <c r="BF34" s="86">
        <f t="shared" si="47"/>
        <v>-36459.77930443316</v>
      </c>
      <c r="BG34" s="86">
        <f t="shared" si="48"/>
        <v>0</v>
      </c>
      <c r="BH34" s="86">
        <f t="shared" si="49"/>
        <v>43437.5257585388</v>
      </c>
      <c r="BI34" s="89"/>
      <c r="BJ34" s="14"/>
      <c r="BK34" s="15"/>
      <c r="BL34" s="88">
        <v>1000</v>
      </c>
      <c r="BM34" s="97">
        <f t="shared" si="14"/>
        <v>411.9867595159069</v>
      </c>
      <c r="BN34" s="96">
        <f t="shared" si="15"/>
        <v>131.3671171545898</v>
      </c>
    </row>
    <row r="35" spans="17:66" s="53" customFormat="1" ht="15.75" thickBot="1">
      <c r="Q35" s="54">
        <f aca="true" t="shared" si="59" ref="Q35:AE35">SUM(Q10:Q34)</f>
        <v>19984343.272639018</v>
      </c>
      <c r="R35" s="54">
        <f t="shared" si="59"/>
        <v>0</v>
      </c>
      <c r="S35" s="54">
        <f t="shared" si="59"/>
        <v>19984343.272639018</v>
      </c>
      <c r="T35" s="54">
        <f t="shared" si="59"/>
        <v>35001149.78893635</v>
      </c>
      <c r="U35" s="54">
        <f t="shared" si="59"/>
        <v>0</v>
      </c>
      <c r="V35" s="54">
        <f t="shared" si="59"/>
        <v>35001149.78893635</v>
      </c>
      <c r="W35" s="54">
        <f t="shared" si="59"/>
        <v>2188761.406050941</v>
      </c>
      <c r="X35" s="54">
        <f t="shared" si="59"/>
        <v>0</v>
      </c>
      <c r="Y35" s="54">
        <f t="shared" si="59"/>
        <v>2188761.406050941</v>
      </c>
      <c r="Z35" s="54">
        <f t="shared" si="59"/>
        <v>8545685.83753802</v>
      </c>
      <c r="AA35" s="54">
        <f t="shared" si="59"/>
        <v>0</v>
      </c>
      <c r="AB35" s="54">
        <f t="shared" si="59"/>
        <v>8545685.83753802</v>
      </c>
      <c r="AC35" s="54">
        <f t="shared" si="59"/>
        <v>5233994.666643553</v>
      </c>
      <c r="AD35" s="54">
        <f t="shared" si="59"/>
        <v>0</v>
      </c>
      <c r="AE35" s="54">
        <f t="shared" si="59"/>
        <v>5233994.666643553</v>
      </c>
      <c r="AF35" s="156"/>
      <c r="AG35" s="156"/>
      <c r="AH35" s="157">
        <f>SUM(AH10:AH34)</f>
        <v>46393716.4062903</v>
      </c>
      <c r="AI35" s="157">
        <f>SUM(AI10:AI34)</f>
        <v>-5495178.059774194</v>
      </c>
      <c r="AJ35" s="157">
        <f>SUM(AJ10:AJ34)</f>
        <v>0</v>
      </c>
      <c r="AK35" s="157"/>
      <c r="AL35" s="157"/>
      <c r="AM35" s="157"/>
      <c r="AN35" s="157">
        <f>SUM(AN10:AN34)</f>
        <v>5681400.5288314605</v>
      </c>
      <c r="AO35" s="158"/>
      <c r="AP35" s="159">
        <f aca="true" t="shared" si="60" ref="AP35:AX35">SUM(AP10:AP34)</f>
        <v>11308316.709391963</v>
      </c>
      <c r="AQ35" s="159">
        <f t="shared" si="60"/>
        <v>19805708.9795922</v>
      </c>
      <c r="AR35" s="159">
        <f t="shared" si="60"/>
        <v>1238529.9253143575</v>
      </c>
      <c r="AS35" s="159">
        <f t="shared" si="60"/>
        <v>4835651.621444752</v>
      </c>
      <c r="AT35" s="159">
        <f t="shared" si="60"/>
        <v>2961701.9953169418</v>
      </c>
      <c r="AU35" s="159">
        <f t="shared" si="60"/>
        <v>26252293.17224215</v>
      </c>
      <c r="AV35" s="159">
        <f t="shared" si="60"/>
        <v>-3109494.919430623</v>
      </c>
      <c r="AW35" s="159">
        <f t="shared" si="60"/>
        <v>0</v>
      </c>
      <c r="AX35" s="159">
        <f t="shared" si="60"/>
        <v>3155491.8310820954</v>
      </c>
      <c r="AY35" s="160"/>
      <c r="AZ35" s="159">
        <f aca="true" t="shared" si="61" ref="AZ35:BH35">SUM(AZ10:AZ34)</f>
        <v>5724817.158861124</v>
      </c>
      <c r="BA35" s="159">
        <f t="shared" si="61"/>
        <v>10026608.33823391</v>
      </c>
      <c r="BB35" s="159">
        <f t="shared" si="61"/>
        <v>627003.7840657422</v>
      </c>
      <c r="BC35" s="159">
        <f t="shared" si="61"/>
        <v>2448040.8612653753</v>
      </c>
      <c r="BD35" s="159">
        <f t="shared" si="61"/>
        <v>1499356.874939818</v>
      </c>
      <c r="BE35" s="159">
        <f t="shared" si="61"/>
        <v>13290181.224503882</v>
      </c>
      <c r="BF35" s="159">
        <f t="shared" si="61"/>
        <v>-1574176.8052324986</v>
      </c>
      <c r="BG35" s="159">
        <f t="shared" si="61"/>
        <v>0</v>
      </c>
      <c r="BH35" s="159">
        <f t="shared" si="61"/>
        <v>1559452.293490056</v>
      </c>
      <c r="BI35" s="161">
        <f aca="true" t="shared" si="62" ref="BI35:BN35">SUM(BI4:BI34)</f>
        <v>2500000</v>
      </c>
      <c r="BJ35" s="162">
        <f t="shared" si="62"/>
        <v>2034505.2595343678</v>
      </c>
      <c r="BK35" s="163">
        <f t="shared" si="62"/>
        <v>1564010.4961669792</v>
      </c>
      <c r="BL35" s="161">
        <f t="shared" si="62"/>
        <v>2025000</v>
      </c>
      <c r="BM35" s="162">
        <f t="shared" si="62"/>
        <v>969888.2421490563</v>
      </c>
      <c r="BN35" s="163">
        <f t="shared" si="62"/>
        <v>376338.7946768465</v>
      </c>
    </row>
    <row r="37" spans="2:5" ht="15" customHeight="1">
      <c r="B37" s="350" t="s">
        <v>110</v>
      </c>
      <c r="C37" s="350"/>
      <c r="D37" s="122">
        <f>913+963</f>
        <v>1876</v>
      </c>
      <c r="E37" s="122" t="s">
        <v>109</v>
      </c>
    </row>
    <row r="38" spans="2:37" ht="15">
      <c r="B38" s="350"/>
      <c r="C38" s="350"/>
      <c r="D38" s="122">
        <f>ROUND(D37*0.85,0)</f>
        <v>1595</v>
      </c>
      <c r="E38" s="122" t="s">
        <v>114</v>
      </c>
      <c r="AD38" s="122" t="s">
        <v>102</v>
      </c>
      <c r="AE38" s="122">
        <v>6.2</v>
      </c>
      <c r="AG38" s="122" t="s">
        <v>105</v>
      </c>
      <c r="AH38" s="122">
        <v>0.244</v>
      </c>
      <c r="AJ38" s="122" t="s">
        <v>107</v>
      </c>
      <c r="AK38" s="122">
        <v>15</v>
      </c>
    </row>
    <row r="39" spans="2:37" ht="30">
      <c r="B39" s="350"/>
      <c r="C39" s="350"/>
      <c r="D39" s="122">
        <f>D38*260</f>
        <v>414700</v>
      </c>
      <c r="E39" s="122" t="s">
        <v>111</v>
      </c>
      <c r="AD39" s="122" t="s">
        <v>103</v>
      </c>
      <c r="AE39" s="122">
        <v>24.5</v>
      </c>
      <c r="AG39" s="122" t="s">
        <v>106</v>
      </c>
      <c r="AH39" s="122">
        <v>0.184</v>
      </c>
      <c r="AJ39" s="123" t="s">
        <v>108</v>
      </c>
      <c r="AK39" s="122">
        <v>71.61</v>
      </c>
    </row>
    <row r="40" spans="2:36" ht="15">
      <c r="B40" s="122" t="s">
        <v>134</v>
      </c>
      <c r="C40" s="122"/>
      <c r="D40" s="122">
        <f>12.7-'Permit Truck Totals'!C2</f>
        <v>10.389999999999999</v>
      </c>
      <c r="E40" s="122" t="s">
        <v>112</v>
      </c>
      <c r="AD40" s="122" t="s">
        <v>104</v>
      </c>
      <c r="AE40" s="279">
        <f>'Monetary Assumptions'!E25</f>
        <v>2.06</v>
      </c>
      <c r="AJ40" s="121"/>
    </row>
    <row r="42" spans="2:4" ht="15">
      <c r="B42" t="s">
        <v>115</v>
      </c>
      <c r="D42">
        <f>C9+D39</f>
        <v>529273</v>
      </c>
    </row>
  </sheetData>
  <sheetProtection/>
  <mergeCells count="52">
    <mergeCell ref="B37:C39"/>
    <mergeCell ref="BN2:BN3"/>
    <mergeCell ref="BL1:BN1"/>
    <mergeCell ref="BI1:BK1"/>
    <mergeCell ref="BF2:BF3"/>
    <mergeCell ref="BG2:BG3"/>
    <mergeCell ref="BH2:BH3"/>
    <mergeCell ref="BI2:BI3"/>
    <mergeCell ref="BJ2:BJ3"/>
    <mergeCell ref="BK2:BK3"/>
    <mergeCell ref="BL2:BL3"/>
    <mergeCell ref="BM2:BM3"/>
    <mergeCell ref="AZ2:AZ3"/>
    <mergeCell ref="BA2:BA3"/>
    <mergeCell ref="BB2:BB3"/>
    <mergeCell ref="BC2:BC3"/>
    <mergeCell ref="BD2:BD3"/>
    <mergeCell ref="BE2:BE3"/>
    <mergeCell ref="AS2:AS3"/>
    <mergeCell ref="AT2:AT3"/>
    <mergeCell ref="AU2:AU3"/>
    <mergeCell ref="AV2:AV3"/>
    <mergeCell ref="AW2:AW3"/>
    <mergeCell ref="AX2:AX3"/>
    <mergeCell ref="AL2:AL3"/>
    <mergeCell ref="AM2:AM3"/>
    <mergeCell ref="AN2:AN3"/>
    <mergeCell ref="AP2:AP3"/>
    <mergeCell ref="AQ2:AQ3"/>
    <mergeCell ref="AR2:AR3"/>
    <mergeCell ref="AF2:AF3"/>
    <mergeCell ref="AG2:AG3"/>
    <mergeCell ref="AH2:AH3"/>
    <mergeCell ref="AI2:AI3"/>
    <mergeCell ref="AJ2:AJ3"/>
    <mergeCell ref="AK2:AK3"/>
    <mergeCell ref="L2:P2"/>
    <mergeCell ref="Q2:S2"/>
    <mergeCell ref="T2:V2"/>
    <mergeCell ref="W2:Y2"/>
    <mergeCell ref="Z2:AB2"/>
    <mergeCell ref="AC2:AE2"/>
    <mergeCell ref="E1:AN1"/>
    <mergeCell ref="AO1:AO3"/>
    <mergeCell ref="AP1:AX1"/>
    <mergeCell ref="AY1:AY3"/>
    <mergeCell ref="AZ1:BH1"/>
    <mergeCell ref="A2:A3"/>
    <mergeCell ref="B2:B3"/>
    <mergeCell ref="C2:D2"/>
    <mergeCell ref="E2:F2"/>
    <mergeCell ref="G2:K2"/>
  </mergeCells>
  <printOptions/>
  <pageMargins left="0.7" right="0.7" top="0.75" bottom="0.75" header="0.3" footer="0.3"/>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dimension ref="A1:BN40"/>
  <sheetViews>
    <sheetView tabSelected="1" zoomScalePageLayoutView="0" workbookViewId="0" topLeftCell="A1">
      <selection activeCell="D48" sqref="D48"/>
    </sheetView>
  </sheetViews>
  <sheetFormatPr defaultColWidth="9.140625" defaultRowHeight="15"/>
  <cols>
    <col min="5" max="5" width="12.421875" style="0" customWidth="1"/>
    <col min="6" max="6" width="11.7109375" style="0" customWidth="1"/>
    <col min="7" max="7" width="10.00390625" style="0" hidden="1" customWidth="1"/>
    <col min="8" max="8" width="11.00390625" style="0" hidden="1" customWidth="1"/>
    <col min="9" max="11" width="9.140625" style="0" hidden="1" customWidth="1"/>
    <col min="12" max="12" width="10.00390625" style="0" hidden="1" customWidth="1"/>
    <col min="13" max="13" width="11.00390625" style="0" hidden="1" customWidth="1"/>
    <col min="14" max="16" width="9.140625" style="0" hidden="1" customWidth="1"/>
    <col min="17" max="17" width="14.8515625" style="0" customWidth="1"/>
    <col min="18" max="18" width="12.28125" style="0" customWidth="1"/>
    <col min="19" max="19" width="15.28125" style="0" customWidth="1"/>
    <col min="20" max="20" width="15.140625" style="0" customWidth="1"/>
    <col min="21" max="21" width="16.140625" style="0" customWidth="1"/>
    <col min="22" max="22" width="18.140625" style="0" customWidth="1"/>
    <col min="23" max="23" width="14.8515625" style="0" customWidth="1"/>
    <col min="24" max="24" width="16.28125" style="0" customWidth="1"/>
    <col min="25" max="25" width="17.7109375" style="0" customWidth="1"/>
    <col min="26" max="26" width="15.421875" style="0" customWidth="1"/>
    <col min="27" max="27" width="15.57421875" style="0" customWidth="1"/>
    <col min="28" max="28" width="15.28125" style="0" customWidth="1"/>
    <col min="29" max="29" width="14.8515625" style="0" customWidth="1"/>
    <col min="30" max="30" width="13.00390625" style="0" customWidth="1"/>
    <col min="31" max="31" width="14.421875" style="0" customWidth="1"/>
    <col min="32" max="33" width="16.140625" style="0" customWidth="1"/>
    <col min="34" max="34" width="15.8515625" style="0" customWidth="1"/>
    <col min="35" max="35" width="15.28125" style="0" customWidth="1"/>
    <col min="36" max="36" width="15.00390625" style="0" customWidth="1"/>
    <col min="37" max="38" width="15.7109375" style="0" customWidth="1"/>
    <col min="39" max="39" width="13.00390625" style="0" customWidth="1"/>
    <col min="40" max="40" width="14.8515625" style="0" customWidth="1"/>
    <col min="42" max="42" width="15.140625" style="0" customWidth="1"/>
    <col min="43" max="43" width="15.421875" style="0" customWidth="1"/>
    <col min="44" max="44" width="14.28125" style="0" customWidth="1"/>
    <col min="45" max="45" width="15.28125" style="0" customWidth="1"/>
    <col min="46" max="46" width="15.421875" style="0" customWidth="1"/>
    <col min="47" max="47" width="14.8515625" style="0" customWidth="1"/>
    <col min="48" max="48" width="15.7109375" style="0" customWidth="1"/>
    <col min="49" max="49" width="13.140625" style="0" customWidth="1"/>
    <col min="50" max="50" width="14.140625" style="0" customWidth="1"/>
    <col min="52" max="52" width="14.140625" style="0" customWidth="1"/>
    <col min="53" max="53" width="16.28125" style="0" customWidth="1"/>
    <col min="54" max="54" width="15.57421875" style="0" customWidth="1"/>
    <col min="55" max="55" width="13.8515625" style="0" customWidth="1"/>
    <col min="56" max="56" width="15.00390625" style="0" customWidth="1"/>
    <col min="57" max="57" width="16.00390625" style="0" customWidth="1"/>
    <col min="58" max="58" width="15.421875" style="0" customWidth="1"/>
    <col min="59" max="59" width="13.28125" style="0" customWidth="1"/>
    <col min="60" max="60" width="13.8515625" style="0" customWidth="1"/>
    <col min="61" max="61" width="14.28125" style="0" bestFit="1" customWidth="1"/>
    <col min="62" max="63" width="19.00390625" style="0" customWidth="1"/>
    <col min="64" max="64" width="17.00390625" style="0" customWidth="1"/>
    <col min="65" max="66" width="19.00390625" style="0" customWidth="1"/>
  </cols>
  <sheetData>
    <row r="1" spans="5:66" ht="15.75" customHeight="1" thickBot="1">
      <c r="E1" s="339" t="s">
        <v>113</v>
      </c>
      <c r="F1" s="340"/>
      <c r="G1" s="341"/>
      <c r="H1" s="341"/>
      <c r="I1" s="341"/>
      <c r="J1" s="341"/>
      <c r="K1" s="341"/>
      <c r="L1" s="341"/>
      <c r="M1" s="341"/>
      <c r="N1" s="341"/>
      <c r="O1" s="341"/>
      <c r="P1" s="341"/>
      <c r="Q1" s="341"/>
      <c r="R1" s="341"/>
      <c r="S1" s="341"/>
      <c r="T1" s="341"/>
      <c r="U1" s="341"/>
      <c r="V1" s="341"/>
      <c r="W1" s="341"/>
      <c r="X1" s="341"/>
      <c r="Y1" s="341"/>
      <c r="Z1" s="341"/>
      <c r="AA1" s="341"/>
      <c r="AB1" s="341"/>
      <c r="AC1" s="341"/>
      <c r="AD1" s="341"/>
      <c r="AE1" s="341"/>
      <c r="AF1" s="341"/>
      <c r="AG1" s="341"/>
      <c r="AH1" s="341"/>
      <c r="AI1" s="341"/>
      <c r="AJ1" s="341"/>
      <c r="AK1" s="341"/>
      <c r="AL1" s="341"/>
      <c r="AM1" s="341"/>
      <c r="AN1" s="342"/>
      <c r="AO1" s="333" t="s">
        <v>50</v>
      </c>
      <c r="AP1" s="336" t="s">
        <v>51</v>
      </c>
      <c r="AQ1" s="337"/>
      <c r="AR1" s="337"/>
      <c r="AS1" s="337"/>
      <c r="AT1" s="337"/>
      <c r="AU1" s="337"/>
      <c r="AV1" s="337"/>
      <c r="AW1" s="337"/>
      <c r="AX1" s="338"/>
      <c r="AY1" s="333" t="s">
        <v>52</v>
      </c>
      <c r="AZ1" s="336" t="s">
        <v>53</v>
      </c>
      <c r="BA1" s="337"/>
      <c r="BB1" s="337"/>
      <c r="BC1" s="337"/>
      <c r="BD1" s="337"/>
      <c r="BE1" s="337"/>
      <c r="BF1" s="337"/>
      <c r="BG1" s="337"/>
      <c r="BH1" s="338"/>
      <c r="BI1" s="354" t="s">
        <v>96</v>
      </c>
      <c r="BJ1" s="355"/>
      <c r="BK1" s="356"/>
      <c r="BL1" s="353" t="s">
        <v>95</v>
      </c>
      <c r="BM1" s="341"/>
      <c r="BN1" s="342"/>
    </row>
    <row r="2" spans="1:66" ht="15" customHeight="1">
      <c r="A2" s="322" t="s">
        <v>81</v>
      </c>
      <c r="B2" s="343" t="s">
        <v>82</v>
      </c>
      <c r="C2" s="332" t="s">
        <v>39</v>
      </c>
      <c r="D2" s="331"/>
      <c r="E2" s="332" t="s">
        <v>40</v>
      </c>
      <c r="F2" s="331"/>
      <c r="G2" s="345" t="s">
        <v>36</v>
      </c>
      <c r="H2" s="346"/>
      <c r="I2" s="346"/>
      <c r="J2" s="346"/>
      <c r="K2" s="346"/>
      <c r="L2" s="346" t="s">
        <v>38</v>
      </c>
      <c r="M2" s="346"/>
      <c r="N2" s="346"/>
      <c r="O2" s="346"/>
      <c r="P2" s="347"/>
      <c r="Q2" s="324" t="s">
        <v>41</v>
      </c>
      <c r="R2" s="325"/>
      <c r="S2" s="326"/>
      <c r="T2" s="324" t="s">
        <v>42</v>
      </c>
      <c r="U2" s="325"/>
      <c r="V2" s="326"/>
      <c r="W2" s="324" t="s">
        <v>43</v>
      </c>
      <c r="X2" s="325"/>
      <c r="Y2" s="326"/>
      <c r="Z2" s="324" t="s">
        <v>44</v>
      </c>
      <c r="AA2" s="325"/>
      <c r="AB2" s="326"/>
      <c r="AC2" s="324" t="s">
        <v>45</v>
      </c>
      <c r="AD2" s="325"/>
      <c r="AE2" s="326"/>
      <c r="AF2" s="328" t="s">
        <v>54</v>
      </c>
      <c r="AG2" s="328" t="s">
        <v>55</v>
      </c>
      <c r="AH2" s="328" t="s">
        <v>57</v>
      </c>
      <c r="AI2" s="328" t="s">
        <v>58</v>
      </c>
      <c r="AJ2" s="328" t="s">
        <v>59</v>
      </c>
      <c r="AK2" s="328" t="s">
        <v>60</v>
      </c>
      <c r="AL2" s="328" t="s">
        <v>61</v>
      </c>
      <c r="AM2" s="328" t="s">
        <v>62</v>
      </c>
      <c r="AN2" s="328" t="s">
        <v>63</v>
      </c>
      <c r="AO2" s="328"/>
      <c r="AP2" s="334" t="s">
        <v>18</v>
      </c>
      <c r="AQ2" s="334" t="s">
        <v>19</v>
      </c>
      <c r="AR2" s="334" t="s">
        <v>20</v>
      </c>
      <c r="AS2" s="334" t="s">
        <v>37</v>
      </c>
      <c r="AT2" s="334" t="s">
        <v>22</v>
      </c>
      <c r="AU2" s="328" t="s">
        <v>57</v>
      </c>
      <c r="AV2" s="328" t="s">
        <v>58</v>
      </c>
      <c r="AW2" s="328" t="s">
        <v>59</v>
      </c>
      <c r="AX2" s="328" t="s">
        <v>63</v>
      </c>
      <c r="AY2" s="328"/>
      <c r="AZ2" s="334" t="s">
        <v>18</v>
      </c>
      <c r="BA2" s="334" t="s">
        <v>19</v>
      </c>
      <c r="BB2" s="334" t="s">
        <v>20</v>
      </c>
      <c r="BC2" s="334" t="s">
        <v>37</v>
      </c>
      <c r="BD2" s="334" t="s">
        <v>22</v>
      </c>
      <c r="BE2" s="328" t="s">
        <v>57</v>
      </c>
      <c r="BF2" s="328" t="s">
        <v>58</v>
      </c>
      <c r="BG2" s="328" t="s">
        <v>59</v>
      </c>
      <c r="BH2" s="357" t="s">
        <v>63</v>
      </c>
      <c r="BI2" s="333" t="s">
        <v>140</v>
      </c>
      <c r="BJ2" s="359" t="s">
        <v>141</v>
      </c>
      <c r="BK2" s="351" t="s">
        <v>142</v>
      </c>
      <c r="BL2" s="333" t="s">
        <v>143</v>
      </c>
      <c r="BM2" s="348" t="s">
        <v>144</v>
      </c>
      <c r="BN2" s="351" t="s">
        <v>145</v>
      </c>
    </row>
    <row r="3" spans="1:66" s="224" customFormat="1" ht="15.75" thickBot="1">
      <c r="A3" s="323"/>
      <c r="B3" s="344"/>
      <c r="C3" s="16" t="s">
        <v>4</v>
      </c>
      <c r="D3" s="18" t="s">
        <v>5</v>
      </c>
      <c r="E3" s="74" t="s">
        <v>4</v>
      </c>
      <c r="F3" s="106" t="s">
        <v>5</v>
      </c>
      <c r="G3" s="124" t="s">
        <v>18</v>
      </c>
      <c r="H3" s="125" t="s">
        <v>19</v>
      </c>
      <c r="I3" s="125" t="s">
        <v>20</v>
      </c>
      <c r="J3" s="125" t="s">
        <v>37</v>
      </c>
      <c r="K3" s="125" t="s">
        <v>22</v>
      </c>
      <c r="L3" s="125" t="s">
        <v>18</v>
      </c>
      <c r="M3" s="125" t="s">
        <v>19</v>
      </c>
      <c r="N3" s="125" t="s">
        <v>20</v>
      </c>
      <c r="O3" s="125" t="s">
        <v>37</v>
      </c>
      <c r="P3" s="126" t="s">
        <v>22</v>
      </c>
      <c r="Q3" s="16" t="s">
        <v>4</v>
      </c>
      <c r="R3" s="17" t="s">
        <v>5</v>
      </c>
      <c r="S3" s="18" t="s">
        <v>14</v>
      </c>
      <c r="T3" s="16" t="s">
        <v>4</v>
      </c>
      <c r="U3" s="17" t="s">
        <v>5</v>
      </c>
      <c r="V3" s="18" t="s">
        <v>14</v>
      </c>
      <c r="W3" s="16" t="s">
        <v>4</v>
      </c>
      <c r="X3" s="17" t="s">
        <v>5</v>
      </c>
      <c r="Y3" s="18" t="s">
        <v>14</v>
      </c>
      <c r="Z3" s="16" t="s">
        <v>4</v>
      </c>
      <c r="AA3" s="17" t="s">
        <v>5</v>
      </c>
      <c r="AB3" s="18" t="s">
        <v>14</v>
      </c>
      <c r="AC3" s="16" t="s">
        <v>4</v>
      </c>
      <c r="AD3" s="17" t="s">
        <v>5</v>
      </c>
      <c r="AE3" s="18" t="s">
        <v>14</v>
      </c>
      <c r="AF3" s="329"/>
      <c r="AG3" s="329"/>
      <c r="AH3" s="329"/>
      <c r="AI3" s="329"/>
      <c r="AJ3" s="329"/>
      <c r="AK3" s="329"/>
      <c r="AL3" s="329"/>
      <c r="AM3" s="329"/>
      <c r="AN3" s="329"/>
      <c r="AO3" s="329"/>
      <c r="AP3" s="335"/>
      <c r="AQ3" s="335"/>
      <c r="AR3" s="335"/>
      <c r="AS3" s="335"/>
      <c r="AT3" s="335"/>
      <c r="AU3" s="329"/>
      <c r="AV3" s="329"/>
      <c r="AW3" s="329"/>
      <c r="AX3" s="329"/>
      <c r="AY3" s="329"/>
      <c r="AZ3" s="335"/>
      <c r="BA3" s="335"/>
      <c r="BB3" s="335"/>
      <c r="BC3" s="335"/>
      <c r="BD3" s="335"/>
      <c r="BE3" s="329"/>
      <c r="BF3" s="329"/>
      <c r="BG3" s="329"/>
      <c r="BH3" s="358"/>
      <c r="BI3" s="329"/>
      <c r="BJ3" s="360"/>
      <c r="BK3" s="352"/>
      <c r="BL3" s="329"/>
      <c r="BM3" s="349"/>
      <c r="BN3" s="352"/>
    </row>
    <row r="4" spans="1:66" s="64" customFormat="1" ht="15">
      <c r="A4" s="72">
        <v>2015</v>
      </c>
      <c r="B4" s="222">
        <v>0</v>
      </c>
      <c r="C4" s="220"/>
      <c r="D4" s="218">
        <f>0</f>
        <v>0</v>
      </c>
      <c r="E4" s="104">
        <f aca="true" t="shared" si="0" ref="E4:E34">$D$40*C4</f>
        <v>0</v>
      </c>
      <c r="F4" s="105">
        <f>0*D4</f>
        <v>0</v>
      </c>
      <c r="G4" s="120">
        <f>'VMT Multipliers'!W$21</f>
        <v>0.14312195121951218</v>
      </c>
      <c r="H4" s="120">
        <f>'VMT Multipliers'!X$21</f>
        <v>0.25066787456445994</v>
      </c>
      <c r="I4" s="120">
        <f>'VMT Multipliers'!Y$21</f>
        <v>0.015675261324041814</v>
      </c>
      <c r="J4" s="120">
        <f>'VMT Multipliers'!Z$21</f>
        <v>0.061201672473867604</v>
      </c>
      <c r="K4" s="120">
        <f>'VMT Multipliers'!AA$21</f>
        <v>0.03748432055749129</v>
      </c>
      <c r="L4" s="118">
        <f>'VMT Multipliers'!W$20</f>
        <v>0.0013630662020905925</v>
      </c>
      <c r="M4" s="118">
        <f>'VMT Multipliers'!X$20</f>
        <v>0.10495609756097561</v>
      </c>
      <c r="N4" s="118">
        <f>'VMT Multipliers'!Y$20</f>
        <v>0.01622048780487805</v>
      </c>
      <c r="O4" s="118">
        <f>'VMT Multipliers'!Z$20</f>
        <v>0.01812878048780488</v>
      </c>
      <c r="P4" s="118">
        <f>'VMT Multipliers'!AA$20</f>
        <v>0.0012267595818815332</v>
      </c>
      <c r="Q4" s="220"/>
      <c r="R4" s="221"/>
      <c r="S4" s="222"/>
      <c r="T4" s="220"/>
      <c r="U4" s="221"/>
      <c r="V4" s="222"/>
      <c r="W4" s="220"/>
      <c r="X4" s="221"/>
      <c r="Y4" s="222"/>
      <c r="Z4" s="220"/>
      <c r="AA4" s="221"/>
      <c r="AB4" s="222"/>
      <c r="AC4" s="220"/>
      <c r="AD4" s="221"/>
      <c r="AE4" s="222"/>
      <c r="AF4" s="65"/>
      <c r="AG4" s="65"/>
      <c r="AH4" s="65"/>
      <c r="AI4" s="65"/>
      <c r="AJ4" s="65"/>
      <c r="AK4" s="65"/>
      <c r="AL4" s="65"/>
      <c r="AM4" s="68">
        <v>26.55</v>
      </c>
      <c r="AN4" s="65"/>
      <c r="AO4" s="67">
        <f>1/(1.03^(A4-A$4))</f>
        <v>1</v>
      </c>
      <c r="AP4" s="19"/>
      <c r="AQ4" s="19"/>
      <c r="AR4" s="19"/>
      <c r="AS4" s="19"/>
      <c r="AT4" s="19"/>
      <c r="AU4" s="66"/>
      <c r="AV4" s="66"/>
      <c r="AW4" s="66"/>
      <c r="AX4" s="66"/>
      <c r="AY4" s="67">
        <f>1/(1.07^(A4-A$4))</f>
        <v>1</v>
      </c>
      <c r="AZ4" s="19"/>
      <c r="BA4" s="19"/>
      <c r="BB4" s="19"/>
      <c r="BC4" s="19"/>
      <c r="BD4" s="19"/>
      <c r="BE4" s="66"/>
      <c r="BF4" s="66"/>
      <c r="BG4" s="66"/>
      <c r="BH4" s="230"/>
      <c r="BI4" s="87"/>
      <c r="BJ4" s="212"/>
      <c r="BK4" s="96"/>
      <c r="BL4" s="87"/>
      <c r="BM4" s="97"/>
      <c r="BN4" s="96"/>
    </row>
    <row r="5" spans="1:66" s="64" customFormat="1" ht="15">
      <c r="A5" s="71">
        <v>2016</v>
      </c>
      <c r="B5" s="15">
        <v>1</v>
      </c>
      <c r="C5" s="220"/>
      <c r="D5" s="222">
        <f>ROUNDDOWN($D$4*1.05^(A5-A$4),0)</f>
        <v>0</v>
      </c>
      <c r="E5" s="47">
        <f t="shared" si="0"/>
        <v>0</v>
      </c>
      <c r="F5" s="48">
        <f aca="true" t="shared" si="1" ref="F5:F34">0.71*D5</f>
        <v>0</v>
      </c>
      <c r="G5" s="120">
        <f>'VMT Multipliers'!W$21</f>
        <v>0.14312195121951218</v>
      </c>
      <c r="H5" s="120">
        <f>'VMT Multipliers'!X$21</f>
        <v>0.25066787456445994</v>
      </c>
      <c r="I5" s="120">
        <f>'VMT Multipliers'!Y$21</f>
        <v>0.015675261324041814</v>
      </c>
      <c r="J5" s="120">
        <f>'VMT Multipliers'!Z$21</f>
        <v>0.061201672473867604</v>
      </c>
      <c r="K5" s="120">
        <f>'VMT Multipliers'!AA$21</f>
        <v>0.03748432055749129</v>
      </c>
      <c r="L5" s="118">
        <f>'VMT Multipliers'!W$20</f>
        <v>0.0013630662020905925</v>
      </c>
      <c r="M5" s="118">
        <f>'VMT Multipliers'!X$20</f>
        <v>0.10495609756097561</v>
      </c>
      <c r="N5" s="118">
        <f>'VMT Multipliers'!Y$20</f>
        <v>0.01622048780487805</v>
      </c>
      <c r="O5" s="118">
        <f>'VMT Multipliers'!Z$20</f>
        <v>0.01812878048780488</v>
      </c>
      <c r="P5" s="118">
        <f>'VMT Multipliers'!AA$20</f>
        <v>0.0012267595818815332</v>
      </c>
      <c r="Q5" s="220"/>
      <c r="R5" s="221"/>
      <c r="S5" s="222"/>
      <c r="T5" s="220"/>
      <c r="U5" s="221"/>
      <c r="V5" s="222"/>
      <c r="W5" s="220"/>
      <c r="X5" s="221"/>
      <c r="Y5" s="222"/>
      <c r="Z5" s="220"/>
      <c r="AA5" s="221"/>
      <c r="AB5" s="222"/>
      <c r="AC5" s="220"/>
      <c r="AD5" s="221"/>
      <c r="AE5" s="222"/>
      <c r="AF5" s="65"/>
      <c r="AG5" s="65"/>
      <c r="AH5" s="65"/>
      <c r="AI5" s="65"/>
      <c r="AJ5" s="65"/>
      <c r="AK5" s="65"/>
      <c r="AL5" s="65"/>
      <c r="AM5" s="68">
        <v>27.12</v>
      </c>
      <c r="AN5" s="65"/>
      <c r="AO5" s="67">
        <f aca="true" t="shared" si="2" ref="AO5:AO34">1/(1.03^(A5-A$4))</f>
        <v>0.970873786407767</v>
      </c>
      <c r="AP5" s="19"/>
      <c r="AQ5" s="19"/>
      <c r="AR5" s="19"/>
      <c r="AS5" s="19"/>
      <c r="AT5" s="19"/>
      <c r="AU5" s="66"/>
      <c r="AV5" s="66"/>
      <c r="AW5" s="66"/>
      <c r="AX5" s="66"/>
      <c r="AY5" s="67">
        <f aca="true" t="shared" si="3" ref="AY5:AY34">1/(1.07^(A5-A$4))</f>
        <v>0.9345794392523364</v>
      </c>
      <c r="AZ5" s="19"/>
      <c r="BA5" s="19"/>
      <c r="BB5" s="19"/>
      <c r="BC5" s="19"/>
      <c r="BD5" s="19"/>
      <c r="BE5" s="66"/>
      <c r="BF5" s="66"/>
      <c r="BG5" s="66"/>
      <c r="BH5" s="230"/>
      <c r="BI5" s="88"/>
      <c r="BJ5" s="234"/>
      <c r="BK5" s="92"/>
      <c r="BL5" s="88"/>
      <c r="BM5" s="97"/>
      <c r="BN5" s="96"/>
    </row>
    <row r="6" spans="1:66" s="64" customFormat="1" ht="15">
      <c r="A6" s="72">
        <v>2017</v>
      </c>
      <c r="B6" s="222">
        <v>2</v>
      </c>
      <c r="C6" s="220"/>
      <c r="D6" s="222">
        <f aca="true" t="shared" si="4" ref="D6:D34">ROUNDDOWN($D$4*1.05^(A6-A$4),0)</f>
        <v>0</v>
      </c>
      <c r="E6" s="47">
        <f t="shared" si="0"/>
        <v>0</v>
      </c>
      <c r="F6" s="48">
        <f t="shared" si="1"/>
        <v>0</v>
      </c>
      <c r="G6" s="120">
        <f>'VMT Multipliers'!W$21</f>
        <v>0.14312195121951218</v>
      </c>
      <c r="H6" s="120">
        <f>'VMT Multipliers'!X$21</f>
        <v>0.25066787456445994</v>
      </c>
      <c r="I6" s="120">
        <f>'VMT Multipliers'!Y$21</f>
        <v>0.015675261324041814</v>
      </c>
      <c r="J6" s="120">
        <f>'VMT Multipliers'!Z$21</f>
        <v>0.061201672473867604</v>
      </c>
      <c r="K6" s="120">
        <f>'VMT Multipliers'!AA$21</f>
        <v>0.03748432055749129</v>
      </c>
      <c r="L6" s="118">
        <f>'VMT Multipliers'!W$20</f>
        <v>0.0013630662020905925</v>
      </c>
      <c r="M6" s="118">
        <f>'VMT Multipliers'!X$20</f>
        <v>0.10495609756097561</v>
      </c>
      <c r="N6" s="118">
        <f>'VMT Multipliers'!Y$20</f>
        <v>0.01622048780487805</v>
      </c>
      <c r="O6" s="118">
        <f>'VMT Multipliers'!Z$20</f>
        <v>0.01812878048780488</v>
      </c>
      <c r="P6" s="118">
        <f>'VMT Multipliers'!AA$20</f>
        <v>0.0012267595818815332</v>
      </c>
      <c r="Q6" s="220"/>
      <c r="R6" s="221"/>
      <c r="S6" s="222"/>
      <c r="T6" s="220"/>
      <c r="U6" s="221"/>
      <c r="V6" s="222"/>
      <c r="W6" s="220"/>
      <c r="X6" s="221"/>
      <c r="Y6" s="222"/>
      <c r="Z6" s="220"/>
      <c r="AA6" s="221"/>
      <c r="AB6" s="222"/>
      <c r="AC6" s="220"/>
      <c r="AD6" s="221"/>
      <c r="AE6" s="222"/>
      <c r="AF6" s="65"/>
      <c r="AG6" s="65"/>
      <c r="AH6" s="65"/>
      <c r="AI6" s="65"/>
      <c r="AJ6" s="65"/>
      <c r="AK6" s="65"/>
      <c r="AL6" s="65"/>
      <c r="AM6" s="68">
        <v>27.69</v>
      </c>
      <c r="AN6" s="65"/>
      <c r="AO6" s="67">
        <f t="shared" si="2"/>
        <v>0.9425959091337544</v>
      </c>
      <c r="AP6" s="19"/>
      <c r="AQ6" s="19"/>
      <c r="AR6" s="19"/>
      <c r="AS6" s="19"/>
      <c r="AT6" s="19"/>
      <c r="AU6" s="66"/>
      <c r="AV6" s="66"/>
      <c r="AW6" s="66"/>
      <c r="AX6" s="66"/>
      <c r="AY6" s="67">
        <f t="shared" si="3"/>
        <v>0.8734387282732116</v>
      </c>
      <c r="AZ6" s="19"/>
      <c r="BA6" s="19"/>
      <c r="BB6" s="19"/>
      <c r="BC6" s="19"/>
      <c r="BD6" s="19"/>
      <c r="BE6" s="66"/>
      <c r="BF6" s="66"/>
      <c r="BG6" s="66"/>
      <c r="BH6" s="230"/>
      <c r="BI6" s="88"/>
      <c r="BJ6" s="234"/>
      <c r="BK6" s="92"/>
      <c r="BL6" s="88"/>
      <c r="BM6" s="97"/>
      <c r="BN6" s="96"/>
    </row>
    <row r="7" spans="1:66" s="64" customFormat="1" ht="15">
      <c r="A7" s="71">
        <v>2018</v>
      </c>
      <c r="B7" s="15">
        <v>3</v>
      </c>
      <c r="C7" s="220"/>
      <c r="D7" s="222">
        <f t="shared" si="4"/>
        <v>0</v>
      </c>
      <c r="E7" s="47">
        <f t="shared" si="0"/>
        <v>0</v>
      </c>
      <c r="F7" s="48">
        <f t="shared" si="1"/>
        <v>0</v>
      </c>
      <c r="G7" s="120">
        <f>'VMT Multipliers'!W$21</f>
        <v>0.14312195121951218</v>
      </c>
      <c r="H7" s="120">
        <f>'VMT Multipliers'!X$21</f>
        <v>0.25066787456445994</v>
      </c>
      <c r="I7" s="120">
        <f>'VMT Multipliers'!Y$21</f>
        <v>0.015675261324041814</v>
      </c>
      <c r="J7" s="120">
        <f>'VMT Multipliers'!Z$21</f>
        <v>0.061201672473867604</v>
      </c>
      <c r="K7" s="120">
        <f>'VMT Multipliers'!AA$21</f>
        <v>0.03748432055749129</v>
      </c>
      <c r="L7" s="118">
        <f>'VMT Multipliers'!W$20</f>
        <v>0.0013630662020905925</v>
      </c>
      <c r="M7" s="118">
        <f>'VMT Multipliers'!X$20</f>
        <v>0.10495609756097561</v>
      </c>
      <c r="N7" s="118">
        <f>'VMT Multipliers'!Y$20</f>
        <v>0.01622048780487805</v>
      </c>
      <c r="O7" s="118">
        <f>'VMT Multipliers'!Z$20</f>
        <v>0.01812878048780488</v>
      </c>
      <c r="P7" s="118">
        <f>'VMT Multipliers'!AA$20</f>
        <v>0.0012267595818815332</v>
      </c>
      <c r="Q7" s="220"/>
      <c r="R7" s="221"/>
      <c r="S7" s="222"/>
      <c r="T7" s="220"/>
      <c r="U7" s="221"/>
      <c r="V7" s="222"/>
      <c r="W7" s="220"/>
      <c r="X7" s="221"/>
      <c r="Y7" s="222"/>
      <c r="Z7" s="220"/>
      <c r="AA7" s="221"/>
      <c r="AB7" s="222"/>
      <c r="AC7" s="220"/>
      <c r="AD7" s="221"/>
      <c r="AE7" s="222"/>
      <c r="AF7" s="65"/>
      <c r="AG7" s="65"/>
      <c r="AH7" s="65"/>
      <c r="AI7" s="65"/>
      <c r="AJ7" s="65"/>
      <c r="AK7" s="65"/>
      <c r="AL7" s="65"/>
      <c r="AM7" s="68">
        <v>28.26</v>
      </c>
      <c r="AN7" s="65"/>
      <c r="AO7" s="67">
        <f t="shared" si="2"/>
        <v>0.9151416593531596</v>
      </c>
      <c r="AP7" s="19"/>
      <c r="AQ7" s="19"/>
      <c r="AR7" s="19"/>
      <c r="AS7" s="19"/>
      <c r="AT7" s="19"/>
      <c r="AU7" s="66"/>
      <c r="AV7" s="66"/>
      <c r="AW7" s="66"/>
      <c r="AX7" s="66"/>
      <c r="AY7" s="67">
        <f t="shared" si="3"/>
        <v>0.8162978768908519</v>
      </c>
      <c r="AZ7" s="19"/>
      <c r="BA7" s="19"/>
      <c r="BB7" s="19"/>
      <c r="BC7" s="19"/>
      <c r="BD7" s="19"/>
      <c r="BE7" s="66"/>
      <c r="BF7" s="66"/>
      <c r="BG7" s="66"/>
      <c r="BH7" s="230"/>
      <c r="BI7" s="88"/>
      <c r="BJ7" s="234"/>
      <c r="BK7" s="92"/>
      <c r="BL7" s="88"/>
      <c r="BM7" s="97"/>
      <c r="BN7" s="96"/>
    </row>
    <row r="8" spans="1:66" s="64" customFormat="1" ht="15">
      <c r="A8" s="72">
        <v>2019</v>
      </c>
      <c r="B8" s="222">
        <v>4</v>
      </c>
      <c r="C8" s="220"/>
      <c r="D8" s="222">
        <f t="shared" si="4"/>
        <v>0</v>
      </c>
      <c r="E8" s="47">
        <f t="shared" si="0"/>
        <v>0</v>
      </c>
      <c r="F8" s="48">
        <f t="shared" si="1"/>
        <v>0</v>
      </c>
      <c r="G8" s="120">
        <f>'VMT Multipliers'!W$21</f>
        <v>0.14312195121951218</v>
      </c>
      <c r="H8" s="120">
        <f>'VMT Multipliers'!X$21</f>
        <v>0.25066787456445994</v>
      </c>
      <c r="I8" s="120">
        <f>'VMT Multipliers'!Y$21</f>
        <v>0.015675261324041814</v>
      </c>
      <c r="J8" s="120">
        <f>'VMT Multipliers'!Z$21</f>
        <v>0.061201672473867604</v>
      </c>
      <c r="K8" s="120">
        <f>'VMT Multipliers'!AA$21</f>
        <v>0.03748432055749129</v>
      </c>
      <c r="L8" s="118">
        <f>'VMT Multipliers'!W$20</f>
        <v>0.0013630662020905925</v>
      </c>
      <c r="M8" s="118">
        <f>'VMT Multipliers'!X$20</f>
        <v>0.10495609756097561</v>
      </c>
      <c r="N8" s="118">
        <f>'VMT Multipliers'!Y$20</f>
        <v>0.01622048780487805</v>
      </c>
      <c r="O8" s="118">
        <f>'VMT Multipliers'!Z$20</f>
        <v>0.01812878048780488</v>
      </c>
      <c r="P8" s="118">
        <f>'VMT Multipliers'!AA$20</f>
        <v>0.0012267595818815332</v>
      </c>
      <c r="Q8" s="220"/>
      <c r="R8" s="221"/>
      <c r="S8" s="222"/>
      <c r="T8" s="220"/>
      <c r="U8" s="221"/>
      <c r="V8" s="222"/>
      <c r="W8" s="220"/>
      <c r="X8" s="221"/>
      <c r="Y8" s="222"/>
      <c r="Z8" s="220"/>
      <c r="AA8" s="221"/>
      <c r="AB8" s="222"/>
      <c r="AC8" s="220"/>
      <c r="AD8" s="221"/>
      <c r="AE8" s="222"/>
      <c r="AF8" s="65"/>
      <c r="AG8" s="65"/>
      <c r="AH8" s="65"/>
      <c r="AI8" s="65"/>
      <c r="AJ8" s="65"/>
      <c r="AK8" s="65"/>
      <c r="AL8" s="65"/>
      <c r="AM8" s="68">
        <v>28.83</v>
      </c>
      <c r="AN8" s="65"/>
      <c r="AO8" s="67">
        <f t="shared" si="2"/>
        <v>0.888487047915689</v>
      </c>
      <c r="AP8" s="19"/>
      <c r="AQ8" s="19"/>
      <c r="AR8" s="19"/>
      <c r="AS8" s="19"/>
      <c r="AT8" s="19"/>
      <c r="AU8" s="66"/>
      <c r="AV8" s="66"/>
      <c r="AW8" s="66"/>
      <c r="AX8" s="66"/>
      <c r="AY8" s="67">
        <f t="shared" si="3"/>
        <v>0.7628952120475252</v>
      </c>
      <c r="AZ8" s="19"/>
      <c r="BA8" s="19"/>
      <c r="BB8" s="19"/>
      <c r="BC8" s="19"/>
      <c r="BD8" s="19"/>
      <c r="BE8" s="66"/>
      <c r="BF8" s="66"/>
      <c r="BG8" s="66"/>
      <c r="BH8" s="230"/>
      <c r="BI8" s="88"/>
      <c r="BJ8" s="234"/>
      <c r="BK8" s="92"/>
      <c r="BL8" s="88"/>
      <c r="BM8" s="97"/>
      <c r="BN8" s="96"/>
    </row>
    <row r="9" spans="1:66" s="64" customFormat="1" ht="15">
      <c r="A9" s="71">
        <v>2020</v>
      </c>
      <c r="B9" s="15">
        <v>5</v>
      </c>
      <c r="C9" s="220"/>
      <c r="D9" s="222">
        <f t="shared" si="4"/>
        <v>0</v>
      </c>
      <c r="E9" s="47">
        <f t="shared" si="0"/>
        <v>0</v>
      </c>
      <c r="F9" s="48">
        <f t="shared" si="1"/>
        <v>0</v>
      </c>
      <c r="G9" s="120">
        <f>'VMT Multipliers'!W$21</f>
        <v>0.14312195121951218</v>
      </c>
      <c r="H9" s="120">
        <f>'VMT Multipliers'!X$21</f>
        <v>0.25066787456445994</v>
      </c>
      <c r="I9" s="120">
        <f>'VMT Multipliers'!Y$21</f>
        <v>0.015675261324041814</v>
      </c>
      <c r="J9" s="120">
        <f>'VMT Multipliers'!Z$21</f>
        <v>0.061201672473867604</v>
      </c>
      <c r="K9" s="120">
        <f>'VMT Multipliers'!AA$21</f>
        <v>0.03748432055749129</v>
      </c>
      <c r="L9" s="118">
        <f>'VMT Multipliers'!W$20</f>
        <v>0.0013630662020905925</v>
      </c>
      <c r="M9" s="118">
        <f>'VMT Multipliers'!X$20</f>
        <v>0.10495609756097561</v>
      </c>
      <c r="N9" s="118">
        <f>'VMT Multipliers'!Y$20</f>
        <v>0.01622048780487805</v>
      </c>
      <c r="O9" s="118">
        <f>'VMT Multipliers'!Z$20</f>
        <v>0.01812878048780488</v>
      </c>
      <c r="P9" s="118">
        <f>'VMT Multipliers'!AA$20</f>
        <v>0.0012267595818815332</v>
      </c>
      <c r="Q9" s="91">
        <f>E9*G9</f>
        <v>0</v>
      </c>
      <c r="R9" s="27">
        <f aca="true" t="shared" si="5" ref="R9:R34">F9*L9</f>
        <v>0</v>
      </c>
      <c r="S9" s="28">
        <f>SUM(Q9:R9)</f>
        <v>0</v>
      </c>
      <c r="T9" s="91">
        <f>E9*H9</f>
        <v>0</v>
      </c>
      <c r="U9" s="27">
        <f>F9*M9</f>
        <v>0</v>
      </c>
      <c r="V9" s="28">
        <f>SUM(T9:U9)</f>
        <v>0</v>
      </c>
      <c r="W9" s="91">
        <f>E9*I9</f>
        <v>0</v>
      </c>
      <c r="X9" s="27">
        <f>F9*N9</f>
        <v>0</v>
      </c>
      <c r="Y9" s="28">
        <f>SUM(W9:X9)</f>
        <v>0</v>
      </c>
      <c r="Z9" s="91">
        <f>E9*J9</f>
        <v>0</v>
      </c>
      <c r="AA9" s="27">
        <f>F9*O9</f>
        <v>0</v>
      </c>
      <c r="AB9" s="28">
        <f>SUM(Z9:AA9)</f>
        <v>0</v>
      </c>
      <c r="AC9" s="91">
        <f>E9*K9</f>
        <v>0</v>
      </c>
      <c r="AD9" s="27">
        <f>F9*P9</f>
        <v>0</v>
      </c>
      <c r="AE9" s="28">
        <f>SUM(AC9:AD9)</f>
        <v>0</v>
      </c>
      <c r="AF9" s="20">
        <f aca="true" t="shared" si="6" ref="AF9:AF34">E9/$AE$38</f>
        <v>0</v>
      </c>
      <c r="AG9" s="20">
        <f aca="true" t="shared" si="7" ref="AG9:AG34">F9/$AE$39</f>
        <v>0</v>
      </c>
      <c r="AH9" s="29">
        <f aca="true" t="shared" si="8" ref="AH9:AH34">(AF9+AG9)*$AE$40</f>
        <v>0</v>
      </c>
      <c r="AI9" s="29">
        <f aca="true" t="shared" si="9" ref="AI9:AI34">-1*AF9*$AH$38</f>
        <v>0</v>
      </c>
      <c r="AJ9" s="29">
        <f aca="true" t="shared" si="10" ref="AJ9:AJ34">-1*AG9*$AH$39</f>
        <v>0</v>
      </c>
      <c r="AK9" s="33">
        <f aca="true" t="shared" si="11" ref="AK9:AK34">(E9*$AK$38)</f>
        <v>0</v>
      </c>
      <c r="AL9" s="32">
        <f aca="true" t="shared" si="12" ref="AL9:AL34">$AK$39*AK9/1000000</f>
        <v>0</v>
      </c>
      <c r="AM9" s="68">
        <v>29.4</v>
      </c>
      <c r="AN9" s="29">
        <f>AL9*AM9</f>
        <v>0</v>
      </c>
      <c r="AO9" s="67">
        <f t="shared" si="2"/>
        <v>0.8626087843841641</v>
      </c>
      <c r="AP9" s="88">
        <f>AO9*S9</f>
        <v>0</v>
      </c>
      <c r="AQ9" s="88">
        <f>AO9*V9</f>
        <v>0</v>
      </c>
      <c r="AR9" s="88">
        <f>AO9*Y9</f>
        <v>0</v>
      </c>
      <c r="AS9" s="88">
        <f>AO9*AB9</f>
        <v>0</v>
      </c>
      <c r="AT9" s="88">
        <f>AO9*AE9</f>
        <v>0</v>
      </c>
      <c r="AU9" s="87">
        <f>AH9*AO9</f>
        <v>0</v>
      </c>
      <c r="AV9" s="87">
        <f>AI9*AO9</f>
        <v>0</v>
      </c>
      <c r="AW9" s="87">
        <f>AJ9*AO9</f>
        <v>0</v>
      </c>
      <c r="AX9" s="87">
        <f>AN9*AO9</f>
        <v>0</v>
      </c>
      <c r="AY9" s="67">
        <f t="shared" si="3"/>
        <v>0.7129861794836684</v>
      </c>
      <c r="AZ9" s="88">
        <f>AY9*S9</f>
        <v>0</v>
      </c>
      <c r="BA9" s="88">
        <f>AY9*V9</f>
        <v>0</v>
      </c>
      <c r="BB9" s="88">
        <f>AY9*Y9</f>
        <v>0</v>
      </c>
      <c r="BC9" s="88">
        <f>AY9*AB9</f>
        <v>0</v>
      </c>
      <c r="BD9" s="88">
        <f>AY9*AE9</f>
        <v>0</v>
      </c>
      <c r="BE9" s="87">
        <f>AH9*AY9</f>
        <v>0</v>
      </c>
      <c r="BF9" s="87">
        <f>AI9*AY9</f>
        <v>0</v>
      </c>
      <c r="BG9" s="87">
        <f>AJ9*AY9</f>
        <v>0</v>
      </c>
      <c r="BH9" s="73">
        <f>AN9*AY9</f>
        <v>0</v>
      </c>
      <c r="BI9" s="88">
        <f>100000</f>
        <v>100000</v>
      </c>
      <c r="BJ9" s="234">
        <f>BI9*AO9</f>
        <v>86260.87843841642</v>
      </c>
      <c r="BK9" s="92">
        <f>BI9*AY9</f>
        <v>71298.61794836684</v>
      </c>
      <c r="BL9" s="88">
        <f>5000</f>
        <v>5000</v>
      </c>
      <c r="BM9" s="97">
        <f>BL9*AO9</f>
        <v>4313.04392192082</v>
      </c>
      <c r="BN9" s="96">
        <f>BL9*AY9</f>
        <v>3564.930897418342</v>
      </c>
    </row>
    <row r="10" spans="1:66" s="224" customFormat="1" ht="15">
      <c r="A10" s="72">
        <v>2021</v>
      </c>
      <c r="B10" s="222">
        <v>6</v>
      </c>
      <c r="C10" s="220"/>
      <c r="D10" s="222">
        <f t="shared" si="4"/>
        <v>0</v>
      </c>
      <c r="E10" s="47">
        <f t="shared" si="0"/>
        <v>0</v>
      </c>
      <c r="F10" s="48">
        <f t="shared" si="1"/>
        <v>0</v>
      </c>
      <c r="G10" s="120">
        <f>'VMT Multipliers'!W$21</f>
        <v>0.14312195121951218</v>
      </c>
      <c r="H10" s="120">
        <f>'VMT Multipliers'!X$21</f>
        <v>0.25066787456445994</v>
      </c>
      <c r="I10" s="120">
        <f>'VMT Multipliers'!Y$21</f>
        <v>0.015675261324041814</v>
      </c>
      <c r="J10" s="120">
        <f>'VMT Multipliers'!Z$21</f>
        <v>0.061201672473867604</v>
      </c>
      <c r="K10" s="120">
        <f>'VMT Multipliers'!AA$21</f>
        <v>0.03748432055749129</v>
      </c>
      <c r="L10" s="118">
        <f>'VMT Multipliers'!W$20</f>
        <v>0.0013630662020905925</v>
      </c>
      <c r="M10" s="118">
        <f>'VMT Multipliers'!X$20</f>
        <v>0.10495609756097561</v>
      </c>
      <c r="N10" s="118">
        <f>'VMT Multipliers'!Y$20</f>
        <v>0.01622048780487805</v>
      </c>
      <c r="O10" s="118">
        <f>'VMT Multipliers'!Z$20</f>
        <v>0.01812878048780488</v>
      </c>
      <c r="P10" s="118">
        <f>'VMT Multipliers'!AA$20</f>
        <v>0.0012267595818815332</v>
      </c>
      <c r="Q10" s="91">
        <f>E10*G10</f>
        <v>0</v>
      </c>
      <c r="R10" s="27">
        <f t="shared" si="5"/>
        <v>0</v>
      </c>
      <c r="S10" s="28">
        <f>SUM(Q10:R10)</f>
        <v>0</v>
      </c>
      <c r="T10" s="91">
        <f>E10*H10</f>
        <v>0</v>
      </c>
      <c r="U10" s="27">
        <f>F10*M10</f>
        <v>0</v>
      </c>
      <c r="V10" s="28">
        <f>SUM(T10:U10)</f>
        <v>0</v>
      </c>
      <c r="W10" s="91">
        <f>E10*I10</f>
        <v>0</v>
      </c>
      <c r="X10" s="27">
        <f>F10*N10</f>
        <v>0</v>
      </c>
      <c r="Y10" s="28">
        <f>SUM(W10:X10)</f>
        <v>0</v>
      </c>
      <c r="Z10" s="91">
        <f>E10*J10</f>
        <v>0</v>
      </c>
      <c r="AA10" s="27">
        <f>F10*O10</f>
        <v>0</v>
      </c>
      <c r="AB10" s="28">
        <f>SUM(Z10:AA10)</f>
        <v>0</v>
      </c>
      <c r="AC10" s="91">
        <f>E10*K10</f>
        <v>0</v>
      </c>
      <c r="AD10" s="27">
        <f>F10*P10</f>
        <v>0</v>
      </c>
      <c r="AE10" s="28">
        <f>SUM(AC10:AD10)</f>
        <v>0</v>
      </c>
      <c r="AF10" s="20">
        <f t="shared" si="6"/>
        <v>0</v>
      </c>
      <c r="AG10" s="20">
        <f t="shared" si="7"/>
        <v>0</v>
      </c>
      <c r="AH10" s="29">
        <f t="shared" si="8"/>
        <v>0</v>
      </c>
      <c r="AI10" s="29">
        <f t="shared" si="9"/>
        <v>0</v>
      </c>
      <c r="AJ10" s="29">
        <f t="shared" si="10"/>
        <v>0</v>
      </c>
      <c r="AK10" s="33">
        <f t="shared" si="11"/>
        <v>0</v>
      </c>
      <c r="AL10" s="32">
        <f t="shared" si="12"/>
        <v>0</v>
      </c>
      <c r="AM10" s="68">
        <v>29.97</v>
      </c>
      <c r="AN10" s="29">
        <f>AL10*AM10</f>
        <v>0</v>
      </c>
      <c r="AO10" s="67">
        <f t="shared" si="2"/>
        <v>0.8374842566836544</v>
      </c>
      <c r="AP10" s="88">
        <f>AO10*S10</f>
        <v>0</v>
      </c>
      <c r="AQ10" s="88">
        <f>AO10*V10</f>
        <v>0</v>
      </c>
      <c r="AR10" s="88">
        <f>AO10*Y10</f>
        <v>0</v>
      </c>
      <c r="AS10" s="88">
        <f>AO10*AB10</f>
        <v>0</v>
      </c>
      <c r="AT10" s="88">
        <f>AO10*AE10</f>
        <v>0</v>
      </c>
      <c r="AU10" s="87">
        <f>AH10*AO10</f>
        <v>0</v>
      </c>
      <c r="AV10" s="87">
        <f>AI10*AO10</f>
        <v>0</v>
      </c>
      <c r="AW10" s="87">
        <f>AJ10*AO10</f>
        <v>0</v>
      </c>
      <c r="AX10" s="87">
        <f>AN10*AO10</f>
        <v>0</v>
      </c>
      <c r="AY10" s="67">
        <f t="shared" si="3"/>
        <v>0.6663422238165125</v>
      </c>
      <c r="AZ10" s="88">
        <f>AY10*S10</f>
        <v>0</v>
      </c>
      <c r="BA10" s="88">
        <f>AY10*V10</f>
        <v>0</v>
      </c>
      <c r="BB10" s="88">
        <f>AY10*Y10</f>
        <v>0</v>
      </c>
      <c r="BC10" s="88">
        <f>AY10*AB10</f>
        <v>0</v>
      </c>
      <c r="BD10" s="88">
        <f>AY10*AE10</f>
        <v>0</v>
      </c>
      <c r="BE10" s="87">
        <f>AH10*AY10</f>
        <v>0</v>
      </c>
      <c r="BF10" s="87">
        <f>AI10*AY10</f>
        <v>0</v>
      </c>
      <c r="BG10" s="87">
        <f>AJ10*AY10</f>
        <v>0</v>
      </c>
      <c r="BH10" s="73">
        <f>AN10*AY10</f>
        <v>0</v>
      </c>
      <c r="BI10" s="88">
        <f aca="true" t="shared" si="13" ref="BI10:BI34">100000</f>
        <v>100000</v>
      </c>
      <c r="BJ10" s="234">
        <f aca="true" t="shared" si="14" ref="BJ10:BJ18">BI10*AO10</f>
        <v>83748.42566836544</v>
      </c>
      <c r="BK10" s="92">
        <f aca="true" t="shared" si="15" ref="BK10:BK18">BI10*AY10</f>
        <v>66634.22238165126</v>
      </c>
      <c r="BL10" s="88">
        <f>5000</f>
        <v>5000</v>
      </c>
      <c r="BM10" s="97">
        <f aca="true" t="shared" si="16" ref="BM10:BM34">BL10*AO10</f>
        <v>4187.421283418273</v>
      </c>
      <c r="BN10" s="96">
        <f aca="true" t="shared" si="17" ref="BN10:BN34">BL10*AY10</f>
        <v>3331.7111190825626</v>
      </c>
    </row>
    <row r="11" spans="1:66" s="224" customFormat="1" ht="15">
      <c r="A11" s="71">
        <v>2022</v>
      </c>
      <c r="B11" s="15">
        <v>7</v>
      </c>
      <c r="C11" s="220"/>
      <c r="D11" s="222">
        <f t="shared" si="4"/>
        <v>0</v>
      </c>
      <c r="E11" s="47">
        <f t="shared" si="0"/>
        <v>0</v>
      </c>
      <c r="F11" s="48">
        <f t="shared" si="1"/>
        <v>0</v>
      </c>
      <c r="G11" s="120">
        <f>'VMT Multipliers'!W$21</f>
        <v>0.14312195121951218</v>
      </c>
      <c r="H11" s="120">
        <f>'VMT Multipliers'!X$21</f>
        <v>0.25066787456445994</v>
      </c>
      <c r="I11" s="120">
        <f>'VMT Multipliers'!Y$21</f>
        <v>0.015675261324041814</v>
      </c>
      <c r="J11" s="120">
        <f>'VMT Multipliers'!Z$21</f>
        <v>0.061201672473867604</v>
      </c>
      <c r="K11" s="120">
        <f>'VMT Multipliers'!AA$21</f>
        <v>0.03748432055749129</v>
      </c>
      <c r="L11" s="118">
        <f>'VMT Multipliers'!W$20</f>
        <v>0.0013630662020905925</v>
      </c>
      <c r="M11" s="118">
        <f>'VMT Multipliers'!X$20</f>
        <v>0.10495609756097561</v>
      </c>
      <c r="N11" s="118">
        <f>'VMT Multipliers'!Y$20</f>
        <v>0.01622048780487805</v>
      </c>
      <c r="O11" s="118">
        <f>'VMT Multipliers'!Z$20</f>
        <v>0.01812878048780488</v>
      </c>
      <c r="P11" s="118">
        <f>'VMT Multipliers'!AA$20</f>
        <v>0.0012267595818815332</v>
      </c>
      <c r="Q11" s="91">
        <f>E11*G11</f>
        <v>0</v>
      </c>
      <c r="R11" s="27">
        <f t="shared" si="5"/>
        <v>0</v>
      </c>
      <c r="S11" s="28">
        <f>SUM(Q11:R11)</f>
        <v>0</v>
      </c>
      <c r="T11" s="91">
        <f>E11*H11</f>
        <v>0</v>
      </c>
      <c r="U11" s="27">
        <f>F11*M11</f>
        <v>0</v>
      </c>
      <c r="V11" s="28">
        <f>SUM(T11:U11)</f>
        <v>0</v>
      </c>
      <c r="W11" s="91">
        <f>E11*I11</f>
        <v>0</v>
      </c>
      <c r="X11" s="27">
        <f>F11*N11</f>
        <v>0</v>
      </c>
      <c r="Y11" s="28">
        <f>SUM(W11:X11)</f>
        <v>0</v>
      </c>
      <c r="Z11" s="91">
        <f>E11*J11</f>
        <v>0</v>
      </c>
      <c r="AA11" s="27">
        <f>F11*O11</f>
        <v>0</v>
      </c>
      <c r="AB11" s="28">
        <f>SUM(Z11:AA11)</f>
        <v>0</v>
      </c>
      <c r="AC11" s="91">
        <f>E11*K11</f>
        <v>0</v>
      </c>
      <c r="AD11" s="27">
        <f>F11*P11</f>
        <v>0</v>
      </c>
      <c r="AE11" s="28">
        <f>SUM(AC11:AD11)</f>
        <v>0</v>
      </c>
      <c r="AF11" s="20">
        <f t="shared" si="6"/>
        <v>0</v>
      </c>
      <c r="AG11" s="20">
        <f t="shared" si="7"/>
        <v>0</v>
      </c>
      <c r="AH11" s="29">
        <f t="shared" si="8"/>
        <v>0</v>
      </c>
      <c r="AI11" s="29">
        <f t="shared" si="9"/>
        <v>0</v>
      </c>
      <c r="AJ11" s="29">
        <f t="shared" si="10"/>
        <v>0</v>
      </c>
      <c r="AK11" s="33">
        <f t="shared" si="11"/>
        <v>0</v>
      </c>
      <c r="AL11" s="32">
        <f t="shared" si="12"/>
        <v>0</v>
      </c>
      <c r="AM11" s="68">
        <v>30.54</v>
      </c>
      <c r="AN11" s="29">
        <f>AL11*AM11</f>
        <v>0</v>
      </c>
      <c r="AO11" s="67">
        <f t="shared" si="2"/>
        <v>0.8130915113433538</v>
      </c>
      <c r="AP11" s="88">
        <f>AO11*S11</f>
        <v>0</v>
      </c>
      <c r="AQ11" s="88">
        <f>AO11*V11</f>
        <v>0</v>
      </c>
      <c r="AR11" s="88">
        <f>AO11*Y11</f>
        <v>0</v>
      </c>
      <c r="AS11" s="88">
        <f>AO11*AB11</f>
        <v>0</v>
      </c>
      <c r="AT11" s="88">
        <f>AO11*AE11</f>
        <v>0</v>
      </c>
      <c r="AU11" s="87">
        <f>AH11*AO11</f>
        <v>0</v>
      </c>
      <c r="AV11" s="87">
        <f>AI11*AO11</f>
        <v>0</v>
      </c>
      <c r="AW11" s="87">
        <f>AJ11*AO11</f>
        <v>0</v>
      </c>
      <c r="AX11" s="87">
        <f>AN11*AO11</f>
        <v>0</v>
      </c>
      <c r="AY11" s="67">
        <f t="shared" si="3"/>
        <v>0.6227497418845911</v>
      </c>
      <c r="AZ11" s="88">
        <f>AY11*S11</f>
        <v>0</v>
      </c>
      <c r="BA11" s="88">
        <f>AY11*V11</f>
        <v>0</v>
      </c>
      <c r="BB11" s="88">
        <f>AY11*Y11</f>
        <v>0</v>
      </c>
      <c r="BC11" s="88">
        <f>AY11*AB11</f>
        <v>0</v>
      </c>
      <c r="BD11" s="88">
        <f>AY11*AE11</f>
        <v>0</v>
      </c>
      <c r="BE11" s="87">
        <f>AH11*AY11</f>
        <v>0</v>
      </c>
      <c r="BF11" s="87">
        <f>AI11*AY11</f>
        <v>0</v>
      </c>
      <c r="BG11" s="87">
        <f>AJ11*AY11</f>
        <v>0</v>
      </c>
      <c r="BH11" s="73">
        <f>AN11*AY11</f>
        <v>0</v>
      </c>
      <c r="BI11" s="88">
        <f t="shared" si="13"/>
        <v>100000</v>
      </c>
      <c r="BJ11" s="234">
        <f t="shared" si="14"/>
        <v>81309.15113433538</v>
      </c>
      <c r="BK11" s="92">
        <f t="shared" si="15"/>
        <v>62274.974188459106</v>
      </c>
      <c r="BL11" s="88">
        <f>5000</f>
        <v>5000</v>
      </c>
      <c r="BM11" s="97">
        <f t="shared" si="16"/>
        <v>4065.457556716769</v>
      </c>
      <c r="BN11" s="96">
        <f t="shared" si="17"/>
        <v>3113.7487094229555</v>
      </c>
    </row>
    <row r="12" spans="1:66" s="224" customFormat="1" ht="15">
      <c r="A12" s="72">
        <v>2023</v>
      </c>
      <c r="B12" s="222">
        <v>8</v>
      </c>
      <c r="C12" s="220"/>
      <c r="D12" s="222">
        <f t="shared" si="4"/>
        <v>0</v>
      </c>
      <c r="E12" s="47">
        <f t="shared" si="0"/>
        <v>0</v>
      </c>
      <c r="F12" s="48">
        <f t="shared" si="1"/>
        <v>0</v>
      </c>
      <c r="G12" s="120">
        <f>'VMT Multipliers'!W$21</f>
        <v>0.14312195121951218</v>
      </c>
      <c r="H12" s="120">
        <f>'VMT Multipliers'!X$21</f>
        <v>0.25066787456445994</v>
      </c>
      <c r="I12" s="120">
        <f>'VMT Multipliers'!Y$21</f>
        <v>0.015675261324041814</v>
      </c>
      <c r="J12" s="120">
        <f>'VMT Multipliers'!Z$21</f>
        <v>0.061201672473867604</v>
      </c>
      <c r="K12" s="120">
        <f>'VMT Multipliers'!AA$21</f>
        <v>0.03748432055749129</v>
      </c>
      <c r="L12" s="118">
        <f>'VMT Multipliers'!W$20</f>
        <v>0.0013630662020905925</v>
      </c>
      <c r="M12" s="118">
        <f>'VMT Multipliers'!X$20</f>
        <v>0.10495609756097561</v>
      </c>
      <c r="N12" s="118">
        <f>'VMT Multipliers'!Y$20</f>
        <v>0.01622048780487805</v>
      </c>
      <c r="O12" s="118">
        <f>'VMT Multipliers'!Z$20</f>
        <v>0.01812878048780488</v>
      </c>
      <c r="P12" s="118">
        <f>'VMT Multipliers'!AA$20</f>
        <v>0.0012267595818815332</v>
      </c>
      <c r="Q12" s="91">
        <f>E12*G12</f>
        <v>0</v>
      </c>
      <c r="R12" s="27">
        <f t="shared" si="5"/>
        <v>0</v>
      </c>
      <c r="S12" s="28">
        <f>SUM(Q12:R12)</f>
        <v>0</v>
      </c>
      <c r="T12" s="91">
        <f>E12*H12</f>
        <v>0</v>
      </c>
      <c r="U12" s="27">
        <f>F12*M12</f>
        <v>0</v>
      </c>
      <c r="V12" s="28">
        <f>SUM(T12:U12)</f>
        <v>0</v>
      </c>
      <c r="W12" s="91">
        <f>E12*I12</f>
        <v>0</v>
      </c>
      <c r="X12" s="27">
        <f>F12*N12</f>
        <v>0</v>
      </c>
      <c r="Y12" s="28">
        <f>SUM(W12:X12)</f>
        <v>0</v>
      </c>
      <c r="Z12" s="91">
        <f>E12*J12</f>
        <v>0</v>
      </c>
      <c r="AA12" s="27">
        <f>F12*O12</f>
        <v>0</v>
      </c>
      <c r="AB12" s="28">
        <f>SUM(Z12:AA12)</f>
        <v>0</v>
      </c>
      <c r="AC12" s="91">
        <f>E12*K12</f>
        <v>0</v>
      </c>
      <c r="AD12" s="27">
        <f>F12*P12</f>
        <v>0</v>
      </c>
      <c r="AE12" s="28">
        <f>SUM(AC12:AD12)</f>
        <v>0</v>
      </c>
      <c r="AF12" s="20">
        <f t="shared" si="6"/>
        <v>0</v>
      </c>
      <c r="AG12" s="20">
        <f t="shared" si="7"/>
        <v>0</v>
      </c>
      <c r="AH12" s="29">
        <f t="shared" si="8"/>
        <v>0</v>
      </c>
      <c r="AI12" s="29">
        <f t="shared" si="9"/>
        <v>0</v>
      </c>
      <c r="AJ12" s="29">
        <f t="shared" si="10"/>
        <v>0</v>
      </c>
      <c r="AK12" s="33">
        <f t="shared" si="11"/>
        <v>0</v>
      </c>
      <c r="AL12" s="32">
        <f t="shared" si="12"/>
        <v>0</v>
      </c>
      <c r="AM12" s="68">
        <v>31.11</v>
      </c>
      <c r="AN12" s="29">
        <f>AL12*AM12</f>
        <v>0</v>
      </c>
      <c r="AO12" s="67">
        <f t="shared" si="2"/>
        <v>0.7894092343139357</v>
      </c>
      <c r="AP12" s="88">
        <f>AO12*S12</f>
        <v>0</v>
      </c>
      <c r="AQ12" s="88">
        <f>AO12*V12</f>
        <v>0</v>
      </c>
      <c r="AR12" s="88">
        <f>AO12*Y12</f>
        <v>0</v>
      </c>
      <c r="AS12" s="88">
        <f>AO12*AB12</f>
        <v>0</v>
      </c>
      <c r="AT12" s="88">
        <f>AO12*AE12</f>
        <v>0</v>
      </c>
      <c r="AU12" s="87">
        <f>AH12*AO12</f>
        <v>0</v>
      </c>
      <c r="AV12" s="87">
        <f>AI12*AO12</f>
        <v>0</v>
      </c>
      <c r="AW12" s="87">
        <f>AJ12*AO12</f>
        <v>0</v>
      </c>
      <c r="AX12" s="87">
        <f>AN12*AO12</f>
        <v>0</v>
      </c>
      <c r="AY12" s="67">
        <f t="shared" si="3"/>
        <v>0.5820091045650384</v>
      </c>
      <c r="AZ12" s="88">
        <f>AY12*S12</f>
        <v>0</v>
      </c>
      <c r="BA12" s="88">
        <f>AY12*V12</f>
        <v>0</v>
      </c>
      <c r="BB12" s="88">
        <f>AY12*Y12</f>
        <v>0</v>
      </c>
      <c r="BC12" s="88">
        <f>AY12*AB12</f>
        <v>0</v>
      </c>
      <c r="BD12" s="88">
        <f>AY12*AE12</f>
        <v>0</v>
      </c>
      <c r="BE12" s="87">
        <f>AH12*AY12</f>
        <v>0</v>
      </c>
      <c r="BF12" s="87">
        <f>AI12*AY12</f>
        <v>0</v>
      </c>
      <c r="BG12" s="87">
        <f>AJ12*AY12</f>
        <v>0</v>
      </c>
      <c r="BH12" s="73">
        <f>AN12*AY12</f>
        <v>0</v>
      </c>
      <c r="BI12" s="88">
        <f t="shared" si="13"/>
        <v>100000</v>
      </c>
      <c r="BJ12" s="234">
        <f t="shared" si="14"/>
        <v>78940.92343139357</v>
      </c>
      <c r="BK12" s="92">
        <f t="shared" si="15"/>
        <v>58200.91045650384</v>
      </c>
      <c r="BL12" s="88">
        <f>5000</f>
        <v>5000</v>
      </c>
      <c r="BM12" s="97">
        <f t="shared" si="16"/>
        <v>3947.046171569679</v>
      </c>
      <c r="BN12" s="96">
        <f t="shared" si="17"/>
        <v>2910.045522825192</v>
      </c>
    </row>
    <row r="13" spans="1:66" s="224" customFormat="1" ht="15">
      <c r="A13" s="71">
        <v>2024</v>
      </c>
      <c r="B13" s="15">
        <v>9</v>
      </c>
      <c r="C13" s="220"/>
      <c r="D13" s="222">
        <f t="shared" si="4"/>
        <v>0</v>
      </c>
      <c r="E13" s="47">
        <f t="shared" si="0"/>
        <v>0</v>
      </c>
      <c r="F13" s="48">
        <f t="shared" si="1"/>
        <v>0</v>
      </c>
      <c r="G13" s="120">
        <f>'VMT Multipliers'!W$21</f>
        <v>0.14312195121951218</v>
      </c>
      <c r="H13" s="120">
        <f>'VMT Multipliers'!X$21</f>
        <v>0.25066787456445994</v>
      </c>
      <c r="I13" s="120">
        <f>'VMT Multipliers'!Y$21</f>
        <v>0.015675261324041814</v>
      </c>
      <c r="J13" s="120">
        <f>'VMT Multipliers'!Z$21</f>
        <v>0.061201672473867604</v>
      </c>
      <c r="K13" s="120">
        <f>'VMT Multipliers'!AA$21</f>
        <v>0.03748432055749129</v>
      </c>
      <c r="L13" s="118">
        <f>'VMT Multipliers'!W$20</f>
        <v>0.0013630662020905925</v>
      </c>
      <c r="M13" s="118">
        <f>'VMT Multipliers'!X$20</f>
        <v>0.10495609756097561</v>
      </c>
      <c r="N13" s="118">
        <f>'VMT Multipliers'!Y$20</f>
        <v>0.01622048780487805</v>
      </c>
      <c r="O13" s="118">
        <f>'VMT Multipliers'!Z$20</f>
        <v>0.01812878048780488</v>
      </c>
      <c r="P13" s="118">
        <f>'VMT Multipliers'!AA$20</f>
        <v>0.0012267595818815332</v>
      </c>
      <c r="Q13" s="91">
        <f>E13*G13</f>
        <v>0</v>
      </c>
      <c r="R13" s="27">
        <f t="shared" si="5"/>
        <v>0</v>
      </c>
      <c r="S13" s="28">
        <f>SUM(Q13:R13)</f>
        <v>0</v>
      </c>
      <c r="T13" s="91">
        <f>E13*H13</f>
        <v>0</v>
      </c>
      <c r="U13" s="27">
        <f>F13*M13</f>
        <v>0</v>
      </c>
      <c r="V13" s="28">
        <f>SUM(T13:U13)</f>
        <v>0</v>
      </c>
      <c r="W13" s="91">
        <f>E13*I13</f>
        <v>0</v>
      </c>
      <c r="X13" s="27">
        <f>F13*N13</f>
        <v>0</v>
      </c>
      <c r="Y13" s="28">
        <f>SUM(W13:X13)</f>
        <v>0</v>
      </c>
      <c r="Z13" s="91">
        <f>E13*J13</f>
        <v>0</v>
      </c>
      <c r="AA13" s="27">
        <f>F13*O13</f>
        <v>0</v>
      </c>
      <c r="AB13" s="28">
        <f>SUM(Z13:AA13)</f>
        <v>0</v>
      </c>
      <c r="AC13" s="91">
        <f>E13*K13</f>
        <v>0</v>
      </c>
      <c r="AD13" s="27">
        <f>F13*P13</f>
        <v>0</v>
      </c>
      <c r="AE13" s="28">
        <f>SUM(AC13:AD13)</f>
        <v>0</v>
      </c>
      <c r="AF13" s="20">
        <f t="shared" si="6"/>
        <v>0</v>
      </c>
      <c r="AG13" s="20">
        <f t="shared" si="7"/>
        <v>0</v>
      </c>
      <c r="AH13" s="29">
        <f t="shared" si="8"/>
        <v>0</v>
      </c>
      <c r="AI13" s="29">
        <f t="shared" si="9"/>
        <v>0</v>
      </c>
      <c r="AJ13" s="29">
        <f t="shared" si="10"/>
        <v>0</v>
      </c>
      <c r="AK13" s="33">
        <f t="shared" si="11"/>
        <v>0</v>
      </c>
      <c r="AL13" s="32">
        <f t="shared" si="12"/>
        <v>0</v>
      </c>
      <c r="AM13" s="68">
        <v>31.68</v>
      </c>
      <c r="AN13" s="29">
        <f>AL13*AM13</f>
        <v>0</v>
      </c>
      <c r="AO13" s="67">
        <f t="shared" si="2"/>
        <v>0.766416732343627</v>
      </c>
      <c r="AP13" s="88">
        <f>AO13*S13</f>
        <v>0</v>
      </c>
      <c r="AQ13" s="88">
        <f>AO13*V13</f>
        <v>0</v>
      </c>
      <c r="AR13" s="88">
        <f>AO13*Y13</f>
        <v>0</v>
      </c>
      <c r="AS13" s="88">
        <f>AO13*AB13</f>
        <v>0</v>
      </c>
      <c r="AT13" s="88">
        <f>AO13*AE13</f>
        <v>0</v>
      </c>
      <c r="AU13" s="87">
        <f>AH13*AO13</f>
        <v>0</v>
      </c>
      <c r="AV13" s="87">
        <f>AI13*AO13</f>
        <v>0</v>
      </c>
      <c r="AW13" s="87">
        <f>AJ13*AO13</f>
        <v>0</v>
      </c>
      <c r="AX13" s="87">
        <f>AN13*AO13</f>
        <v>0</v>
      </c>
      <c r="AY13" s="67">
        <f t="shared" si="3"/>
        <v>0.5439337425841481</v>
      </c>
      <c r="AZ13" s="88">
        <f>AY13*S13</f>
        <v>0</v>
      </c>
      <c r="BA13" s="88">
        <f>AY13*V13</f>
        <v>0</v>
      </c>
      <c r="BB13" s="88">
        <f>AY13*Y13</f>
        <v>0</v>
      </c>
      <c r="BC13" s="88">
        <f>AY13*AB13</f>
        <v>0</v>
      </c>
      <c r="BD13" s="88">
        <f>AY13*AE13</f>
        <v>0</v>
      </c>
      <c r="BE13" s="87">
        <f>AH13*AY13</f>
        <v>0</v>
      </c>
      <c r="BF13" s="87">
        <f>AI13*AY13</f>
        <v>0</v>
      </c>
      <c r="BG13" s="87">
        <f>AJ13*AY13</f>
        <v>0</v>
      </c>
      <c r="BH13" s="73">
        <f>AN13*AY13</f>
        <v>0</v>
      </c>
      <c r="BI13" s="88">
        <f t="shared" si="13"/>
        <v>100000</v>
      </c>
      <c r="BJ13" s="234">
        <f t="shared" si="14"/>
        <v>76641.6732343627</v>
      </c>
      <c r="BK13" s="92">
        <f t="shared" si="15"/>
        <v>54393.374258414806</v>
      </c>
      <c r="BL13" s="88">
        <f>5000</f>
        <v>5000</v>
      </c>
      <c r="BM13" s="97">
        <f t="shared" si="16"/>
        <v>3832.083661718135</v>
      </c>
      <c r="BN13" s="96">
        <f t="shared" si="17"/>
        <v>2719.6687129207403</v>
      </c>
    </row>
    <row r="14" spans="1:66" s="64" customFormat="1" ht="15">
      <c r="A14" s="72">
        <v>2025</v>
      </c>
      <c r="B14" s="222">
        <v>10</v>
      </c>
      <c r="C14" s="220"/>
      <c r="D14" s="222">
        <f t="shared" si="4"/>
        <v>0</v>
      </c>
      <c r="E14" s="47">
        <f t="shared" si="0"/>
        <v>0</v>
      </c>
      <c r="F14" s="48">
        <f t="shared" si="1"/>
        <v>0</v>
      </c>
      <c r="G14" s="169">
        <f>'VMT Multipliers'!W$21</f>
        <v>0.14312195121951218</v>
      </c>
      <c r="H14" s="169">
        <f>'VMT Multipliers'!X$21</f>
        <v>0.25066787456445994</v>
      </c>
      <c r="I14" s="169">
        <f>'VMT Multipliers'!Y$21</f>
        <v>0.015675261324041814</v>
      </c>
      <c r="J14" s="169">
        <f>'VMT Multipliers'!Z$21</f>
        <v>0.061201672473867604</v>
      </c>
      <c r="K14" s="169">
        <f>'VMT Multipliers'!AA$21</f>
        <v>0.03748432055749129</v>
      </c>
      <c r="L14" s="170">
        <f>'VMT Multipliers'!W$20</f>
        <v>0.0013630662020905925</v>
      </c>
      <c r="M14" s="170">
        <f>'VMT Multipliers'!X$20</f>
        <v>0.10495609756097561</v>
      </c>
      <c r="N14" s="170">
        <f>'VMT Multipliers'!Y$20</f>
        <v>0.01622048780487805</v>
      </c>
      <c r="O14" s="170">
        <f>'VMT Multipliers'!Z$20</f>
        <v>0.01812878048780488</v>
      </c>
      <c r="P14" s="170">
        <f>'VMT Multipliers'!AA$20</f>
        <v>0.0012267595818815332</v>
      </c>
      <c r="Q14" s="91">
        <f aca="true" t="shared" si="18" ref="Q14:Q34">E14*G14</f>
        <v>0</v>
      </c>
      <c r="R14" s="27">
        <f t="shared" si="5"/>
        <v>0</v>
      </c>
      <c r="S14" s="28">
        <f aca="true" t="shared" si="19" ref="S14:S34">SUM(Q14:R14)</f>
        <v>0</v>
      </c>
      <c r="T14" s="91">
        <f aca="true" t="shared" si="20" ref="T14:T34">E14*H14</f>
        <v>0</v>
      </c>
      <c r="U14" s="27">
        <f aca="true" t="shared" si="21" ref="U14:U34">F14*M14</f>
        <v>0</v>
      </c>
      <c r="V14" s="28">
        <f aca="true" t="shared" si="22" ref="V14:V34">SUM(T14:U14)</f>
        <v>0</v>
      </c>
      <c r="W14" s="91">
        <f aca="true" t="shared" si="23" ref="W14:W34">E14*I14</f>
        <v>0</v>
      </c>
      <c r="X14" s="27">
        <f aca="true" t="shared" si="24" ref="X14:X34">F14*N14</f>
        <v>0</v>
      </c>
      <c r="Y14" s="28">
        <f aca="true" t="shared" si="25" ref="Y14:Y34">SUM(W14:X14)</f>
        <v>0</v>
      </c>
      <c r="Z14" s="91">
        <f aca="true" t="shared" si="26" ref="Z14:Z34">E14*J14</f>
        <v>0</v>
      </c>
      <c r="AA14" s="27">
        <f aca="true" t="shared" si="27" ref="AA14:AA34">F14*O14</f>
        <v>0</v>
      </c>
      <c r="AB14" s="28">
        <f aca="true" t="shared" si="28" ref="AB14:AB34">SUM(Z14:AA14)</f>
        <v>0</v>
      </c>
      <c r="AC14" s="91">
        <f aca="true" t="shared" si="29" ref="AC14:AC34">E14*K14</f>
        <v>0</v>
      </c>
      <c r="AD14" s="27">
        <f aca="true" t="shared" si="30" ref="AD14:AD34">F14*P14</f>
        <v>0</v>
      </c>
      <c r="AE14" s="28">
        <f aca="true" t="shared" si="31" ref="AE14:AE34">SUM(AC14:AD14)</f>
        <v>0</v>
      </c>
      <c r="AF14" s="20">
        <f t="shared" si="6"/>
        <v>0</v>
      </c>
      <c r="AG14" s="20">
        <f t="shared" si="7"/>
        <v>0</v>
      </c>
      <c r="AH14" s="29">
        <f t="shared" si="8"/>
        <v>0</v>
      </c>
      <c r="AI14" s="29">
        <f t="shared" si="9"/>
        <v>0</v>
      </c>
      <c r="AJ14" s="29">
        <f t="shared" si="10"/>
        <v>0</v>
      </c>
      <c r="AK14" s="33">
        <f t="shared" si="11"/>
        <v>0</v>
      </c>
      <c r="AL14" s="32">
        <f t="shared" si="12"/>
        <v>0</v>
      </c>
      <c r="AM14" s="68">
        <v>32.25</v>
      </c>
      <c r="AN14" s="29">
        <f aca="true" t="shared" si="32" ref="AN14:AN34">AL14*AM14</f>
        <v>0</v>
      </c>
      <c r="AO14" s="67">
        <f t="shared" si="2"/>
        <v>0.7440939148967252</v>
      </c>
      <c r="AP14" s="88">
        <f aca="true" t="shared" si="33" ref="AP14:AP34">AO14*S14</f>
        <v>0</v>
      </c>
      <c r="AQ14" s="88">
        <f aca="true" t="shared" si="34" ref="AQ14:AQ34">AO14*V14</f>
        <v>0</v>
      </c>
      <c r="AR14" s="88">
        <f aca="true" t="shared" si="35" ref="AR14:AR34">AO14*Y14</f>
        <v>0</v>
      </c>
      <c r="AS14" s="88">
        <f aca="true" t="shared" si="36" ref="AS14:AS34">AO14*AB14</f>
        <v>0</v>
      </c>
      <c r="AT14" s="88">
        <f aca="true" t="shared" si="37" ref="AT14:AT34">AO14*AE14</f>
        <v>0</v>
      </c>
      <c r="AU14" s="87">
        <f aca="true" t="shared" si="38" ref="AU14:AU34">AH14*AO14</f>
        <v>0</v>
      </c>
      <c r="AV14" s="87">
        <f aca="true" t="shared" si="39" ref="AV14:AV34">AI14*AO14</f>
        <v>0</v>
      </c>
      <c r="AW14" s="87">
        <f aca="true" t="shared" si="40" ref="AW14:AW34">AJ14*AO14</f>
        <v>0</v>
      </c>
      <c r="AX14" s="87">
        <f aca="true" t="shared" si="41" ref="AX14:AX34">AN14*AO14</f>
        <v>0</v>
      </c>
      <c r="AY14" s="67">
        <f t="shared" si="3"/>
        <v>0.5083492921347178</v>
      </c>
      <c r="AZ14" s="88">
        <f aca="true" t="shared" si="42" ref="AZ14:AZ34">AY14*S14</f>
        <v>0</v>
      </c>
      <c r="BA14" s="88">
        <f aca="true" t="shared" si="43" ref="BA14:BA34">AY14*V14</f>
        <v>0</v>
      </c>
      <c r="BB14" s="88">
        <f aca="true" t="shared" si="44" ref="BB14:BB34">AY14*Y14</f>
        <v>0</v>
      </c>
      <c r="BC14" s="88">
        <f aca="true" t="shared" si="45" ref="BC14:BC34">AY14*AB14</f>
        <v>0</v>
      </c>
      <c r="BD14" s="88">
        <f aca="true" t="shared" si="46" ref="BD14:BD34">AY14*AE14</f>
        <v>0</v>
      </c>
      <c r="BE14" s="87">
        <f aca="true" t="shared" si="47" ref="BE14:BE34">AH14*AY14</f>
        <v>0</v>
      </c>
      <c r="BF14" s="87">
        <f aca="true" t="shared" si="48" ref="BF14:BF34">AI14*AY14</f>
        <v>0</v>
      </c>
      <c r="BG14" s="87">
        <f aca="true" t="shared" si="49" ref="BG14:BG34">AJ14*AY14</f>
        <v>0</v>
      </c>
      <c r="BH14" s="73">
        <f aca="true" t="shared" si="50" ref="BH14:BH34">AN14*AY14</f>
        <v>0</v>
      </c>
      <c r="BI14" s="88">
        <f t="shared" si="13"/>
        <v>100000</v>
      </c>
      <c r="BJ14" s="234">
        <f t="shared" si="14"/>
        <v>74409.39148967252</v>
      </c>
      <c r="BK14" s="92">
        <f t="shared" si="15"/>
        <v>50834.92921347178</v>
      </c>
      <c r="BL14" s="88">
        <f>5000</f>
        <v>5000</v>
      </c>
      <c r="BM14" s="97">
        <f t="shared" si="16"/>
        <v>3720.469574483626</v>
      </c>
      <c r="BN14" s="96">
        <f t="shared" si="17"/>
        <v>2541.746460673589</v>
      </c>
    </row>
    <row r="15" spans="1:66" s="224" customFormat="1" ht="15">
      <c r="A15" s="71">
        <v>2026</v>
      </c>
      <c r="B15" s="15">
        <v>11</v>
      </c>
      <c r="C15" s="220"/>
      <c r="D15" s="222">
        <f t="shared" si="4"/>
        <v>0</v>
      </c>
      <c r="E15" s="51">
        <f t="shared" si="0"/>
        <v>0</v>
      </c>
      <c r="F15" s="52">
        <f t="shared" si="1"/>
        <v>0</v>
      </c>
      <c r="G15" s="120">
        <f>'VMT Multipliers'!W$21</f>
        <v>0.14312195121951218</v>
      </c>
      <c r="H15" s="120">
        <f>'VMT Multipliers'!X$21</f>
        <v>0.25066787456445994</v>
      </c>
      <c r="I15" s="120">
        <f>'VMT Multipliers'!Y$21</f>
        <v>0.015675261324041814</v>
      </c>
      <c r="J15" s="120">
        <f>'VMT Multipliers'!Z$21</f>
        <v>0.061201672473867604</v>
      </c>
      <c r="K15" s="120">
        <f>'VMT Multipliers'!AA$21</f>
        <v>0.03748432055749129</v>
      </c>
      <c r="L15" s="118">
        <f>'VMT Multipliers'!W$20</f>
        <v>0.0013630662020905925</v>
      </c>
      <c r="M15" s="118">
        <f>'VMT Multipliers'!X$20</f>
        <v>0.10495609756097561</v>
      </c>
      <c r="N15" s="118">
        <f>'VMT Multipliers'!Y$20</f>
        <v>0.01622048780487805</v>
      </c>
      <c r="O15" s="118">
        <f>'VMT Multipliers'!Z$20</f>
        <v>0.01812878048780488</v>
      </c>
      <c r="P15" s="118">
        <f>'VMT Multipliers'!AA$20</f>
        <v>0.0012267595818815332</v>
      </c>
      <c r="Q15" s="95">
        <f t="shared" si="18"/>
        <v>0</v>
      </c>
      <c r="R15" s="24">
        <f t="shared" si="5"/>
        <v>0</v>
      </c>
      <c r="S15" s="25">
        <f t="shared" si="19"/>
        <v>0</v>
      </c>
      <c r="T15" s="95">
        <f t="shared" si="20"/>
        <v>0</v>
      </c>
      <c r="U15" s="24">
        <f t="shared" si="21"/>
        <v>0</v>
      </c>
      <c r="V15" s="25">
        <f t="shared" si="22"/>
        <v>0</v>
      </c>
      <c r="W15" s="95">
        <f t="shared" si="23"/>
        <v>0</v>
      </c>
      <c r="X15" s="24">
        <f t="shared" si="24"/>
        <v>0</v>
      </c>
      <c r="Y15" s="25">
        <f t="shared" si="25"/>
        <v>0</v>
      </c>
      <c r="Z15" s="95">
        <f t="shared" si="26"/>
        <v>0</v>
      </c>
      <c r="AA15" s="24">
        <f t="shared" si="27"/>
        <v>0</v>
      </c>
      <c r="AB15" s="25">
        <f t="shared" si="28"/>
        <v>0</v>
      </c>
      <c r="AC15" s="95">
        <f t="shared" si="29"/>
        <v>0</v>
      </c>
      <c r="AD15" s="24">
        <f t="shared" si="30"/>
        <v>0</v>
      </c>
      <c r="AE15" s="25">
        <f t="shared" si="31"/>
        <v>0</v>
      </c>
      <c r="AF15" s="20">
        <f t="shared" si="6"/>
        <v>0</v>
      </c>
      <c r="AG15" s="20">
        <f t="shared" si="7"/>
        <v>0</v>
      </c>
      <c r="AH15" s="29">
        <f t="shared" si="8"/>
        <v>0</v>
      </c>
      <c r="AI15" s="29">
        <f t="shared" si="9"/>
        <v>0</v>
      </c>
      <c r="AJ15" s="29">
        <f t="shared" si="10"/>
        <v>0</v>
      </c>
      <c r="AK15" s="33">
        <f t="shared" si="11"/>
        <v>0</v>
      </c>
      <c r="AL15" s="32">
        <f t="shared" si="12"/>
        <v>0</v>
      </c>
      <c r="AM15" s="68">
        <v>32.82</v>
      </c>
      <c r="AN15" s="29">
        <f t="shared" si="32"/>
        <v>0</v>
      </c>
      <c r="AO15" s="67">
        <f t="shared" si="2"/>
        <v>0.7224212765987623</v>
      </c>
      <c r="AP15" s="87">
        <f t="shared" si="33"/>
        <v>0</v>
      </c>
      <c r="AQ15" s="87">
        <f t="shared" si="34"/>
        <v>0</v>
      </c>
      <c r="AR15" s="87">
        <f t="shared" si="35"/>
        <v>0</v>
      </c>
      <c r="AS15" s="87">
        <f t="shared" si="36"/>
        <v>0</v>
      </c>
      <c r="AT15" s="87">
        <f t="shared" si="37"/>
        <v>0</v>
      </c>
      <c r="AU15" s="87">
        <f t="shared" si="38"/>
        <v>0</v>
      </c>
      <c r="AV15" s="87">
        <f t="shared" si="39"/>
        <v>0</v>
      </c>
      <c r="AW15" s="87">
        <f t="shared" si="40"/>
        <v>0</v>
      </c>
      <c r="AX15" s="87">
        <f t="shared" si="41"/>
        <v>0</v>
      </c>
      <c r="AY15" s="67">
        <f t="shared" si="3"/>
        <v>0.47509279638758667</v>
      </c>
      <c r="AZ15" s="87">
        <f t="shared" si="42"/>
        <v>0</v>
      </c>
      <c r="BA15" s="87">
        <f t="shared" si="43"/>
        <v>0</v>
      </c>
      <c r="BB15" s="87">
        <f t="shared" si="44"/>
        <v>0</v>
      </c>
      <c r="BC15" s="87">
        <f t="shared" si="45"/>
        <v>0</v>
      </c>
      <c r="BD15" s="87">
        <f t="shared" si="46"/>
        <v>0</v>
      </c>
      <c r="BE15" s="87">
        <f t="shared" si="47"/>
        <v>0</v>
      </c>
      <c r="BF15" s="87">
        <f t="shared" si="48"/>
        <v>0</v>
      </c>
      <c r="BG15" s="87">
        <f t="shared" si="49"/>
        <v>0</v>
      </c>
      <c r="BH15" s="73">
        <f t="shared" si="50"/>
        <v>0</v>
      </c>
      <c r="BI15" s="88">
        <f t="shared" si="13"/>
        <v>100000</v>
      </c>
      <c r="BJ15" s="212">
        <f t="shared" si="14"/>
        <v>72242.12765987623</v>
      </c>
      <c r="BK15" s="96">
        <f t="shared" si="15"/>
        <v>47509.279638758664</v>
      </c>
      <c r="BL15" s="88">
        <f>5000</f>
        <v>5000</v>
      </c>
      <c r="BM15" s="97">
        <f t="shared" si="16"/>
        <v>3612.1063829938116</v>
      </c>
      <c r="BN15" s="96">
        <f t="shared" si="17"/>
        <v>2375.4639819379336</v>
      </c>
    </row>
    <row r="16" spans="1:66" s="224" customFormat="1" ht="15">
      <c r="A16" s="72">
        <v>2027</v>
      </c>
      <c r="B16" s="222">
        <v>12</v>
      </c>
      <c r="C16" s="220"/>
      <c r="D16" s="222">
        <f t="shared" si="4"/>
        <v>0</v>
      </c>
      <c r="E16" s="47">
        <f t="shared" si="0"/>
        <v>0</v>
      </c>
      <c r="F16" s="48">
        <f t="shared" si="1"/>
        <v>0</v>
      </c>
      <c r="G16" s="120">
        <f>'VMT Multipliers'!W$21</f>
        <v>0.14312195121951218</v>
      </c>
      <c r="H16" s="120">
        <f>'VMT Multipliers'!X$21</f>
        <v>0.25066787456445994</v>
      </c>
      <c r="I16" s="120">
        <f>'VMT Multipliers'!Y$21</f>
        <v>0.015675261324041814</v>
      </c>
      <c r="J16" s="120">
        <f>'VMT Multipliers'!Z$21</f>
        <v>0.061201672473867604</v>
      </c>
      <c r="K16" s="120">
        <f>'VMT Multipliers'!AA$21</f>
        <v>0.03748432055749129</v>
      </c>
      <c r="L16" s="118">
        <f>'VMT Multipliers'!W$20</f>
        <v>0.0013630662020905925</v>
      </c>
      <c r="M16" s="118">
        <f>'VMT Multipliers'!X$20</f>
        <v>0.10495609756097561</v>
      </c>
      <c r="N16" s="118">
        <f>'VMT Multipliers'!Y$20</f>
        <v>0.01622048780487805</v>
      </c>
      <c r="O16" s="118">
        <f>'VMT Multipliers'!Z$20</f>
        <v>0.01812878048780488</v>
      </c>
      <c r="P16" s="118">
        <f>'VMT Multipliers'!AA$20</f>
        <v>0.0012267595818815332</v>
      </c>
      <c r="Q16" s="91">
        <f t="shared" si="18"/>
        <v>0</v>
      </c>
      <c r="R16" s="27">
        <f t="shared" si="5"/>
        <v>0</v>
      </c>
      <c r="S16" s="28">
        <f t="shared" si="19"/>
        <v>0</v>
      </c>
      <c r="T16" s="91">
        <f t="shared" si="20"/>
        <v>0</v>
      </c>
      <c r="U16" s="27">
        <f t="shared" si="21"/>
        <v>0</v>
      </c>
      <c r="V16" s="28">
        <f t="shared" si="22"/>
        <v>0</v>
      </c>
      <c r="W16" s="91">
        <f t="shared" si="23"/>
        <v>0</v>
      </c>
      <c r="X16" s="27">
        <f t="shared" si="24"/>
        <v>0</v>
      </c>
      <c r="Y16" s="28">
        <f t="shared" si="25"/>
        <v>0</v>
      </c>
      <c r="Z16" s="91">
        <f t="shared" si="26"/>
        <v>0</v>
      </c>
      <c r="AA16" s="27">
        <f t="shared" si="27"/>
        <v>0</v>
      </c>
      <c r="AB16" s="28">
        <f t="shared" si="28"/>
        <v>0</v>
      </c>
      <c r="AC16" s="91">
        <f t="shared" si="29"/>
        <v>0</v>
      </c>
      <c r="AD16" s="27">
        <f t="shared" si="30"/>
        <v>0</v>
      </c>
      <c r="AE16" s="28">
        <f t="shared" si="31"/>
        <v>0</v>
      </c>
      <c r="AF16" s="20">
        <f t="shared" si="6"/>
        <v>0</v>
      </c>
      <c r="AG16" s="20">
        <f t="shared" si="7"/>
        <v>0</v>
      </c>
      <c r="AH16" s="29">
        <f t="shared" si="8"/>
        <v>0</v>
      </c>
      <c r="AI16" s="29">
        <f t="shared" si="9"/>
        <v>0</v>
      </c>
      <c r="AJ16" s="29">
        <f t="shared" si="10"/>
        <v>0</v>
      </c>
      <c r="AK16" s="33">
        <f t="shared" si="11"/>
        <v>0</v>
      </c>
      <c r="AL16" s="32">
        <f t="shared" si="12"/>
        <v>0</v>
      </c>
      <c r="AM16" s="68">
        <v>33.39</v>
      </c>
      <c r="AN16" s="29">
        <f t="shared" si="32"/>
        <v>0</v>
      </c>
      <c r="AO16" s="67">
        <f t="shared" si="2"/>
        <v>0.7013798801929733</v>
      </c>
      <c r="AP16" s="88">
        <f t="shared" si="33"/>
        <v>0</v>
      </c>
      <c r="AQ16" s="88">
        <f t="shared" si="34"/>
        <v>0</v>
      </c>
      <c r="AR16" s="88">
        <f t="shared" si="35"/>
        <v>0</v>
      </c>
      <c r="AS16" s="88">
        <f t="shared" si="36"/>
        <v>0</v>
      </c>
      <c r="AT16" s="88">
        <f t="shared" si="37"/>
        <v>0</v>
      </c>
      <c r="AU16" s="87">
        <f t="shared" si="38"/>
        <v>0</v>
      </c>
      <c r="AV16" s="87">
        <f t="shared" si="39"/>
        <v>0</v>
      </c>
      <c r="AW16" s="87">
        <f t="shared" si="40"/>
        <v>0</v>
      </c>
      <c r="AX16" s="87">
        <f t="shared" si="41"/>
        <v>0</v>
      </c>
      <c r="AY16" s="67">
        <f t="shared" si="3"/>
        <v>0.4440119592407353</v>
      </c>
      <c r="AZ16" s="88">
        <f t="shared" si="42"/>
        <v>0</v>
      </c>
      <c r="BA16" s="88">
        <f t="shared" si="43"/>
        <v>0</v>
      </c>
      <c r="BB16" s="88">
        <f t="shared" si="44"/>
        <v>0</v>
      </c>
      <c r="BC16" s="88">
        <f t="shared" si="45"/>
        <v>0</v>
      </c>
      <c r="BD16" s="88">
        <f t="shared" si="46"/>
        <v>0</v>
      </c>
      <c r="BE16" s="87">
        <f t="shared" si="47"/>
        <v>0</v>
      </c>
      <c r="BF16" s="87">
        <f t="shared" si="48"/>
        <v>0</v>
      </c>
      <c r="BG16" s="87">
        <f t="shared" si="49"/>
        <v>0</v>
      </c>
      <c r="BH16" s="73">
        <f t="shared" si="50"/>
        <v>0</v>
      </c>
      <c r="BI16" s="88">
        <f t="shared" si="13"/>
        <v>100000</v>
      </c>
      <c r="BJ16" s="234">
        <f t="shared" si="14"/>
        <v>70137.98801929732</v>
      </c>
      <c r="BK16" s="92">
        <f t="shared" si="15"/>
        <v>44401.19592407353</v>
      </c>
      <c r="BL16" s="88">
        <f>5000</f>
        <v>5000</v>
      </c>
      <c r="BM16" s="97">
        <f t="shared" si="16"/>
        <v>3506.8994009648663</v>
      </c>
      <c r="BN16" s="96">
        <f t="shared" si="17"/>
        <v>2220.0597962036763</v>
      </c>
    </row>
    <row r="17" spans="1:66" s="224" customFormat="1" ht="15">
      <c r="A17" s="213">
        <v>2028</v>
      </c>
      <c r="B17" s="106">
        <v>13</v>
      </c>
      <c r="C17" s="214"/>
      <c r="D17" s="164">
        <f t="shared" si="4"/>
        <v>0</v>
      </c>
      <c r="E17" s="215">
        <f t="shared" si="0"/>
        <v>0</v>
      </c>
      <c r="F17" s="216">
        <f t="shared" si="1"/>
        <v>0</v>
      </c>
      <c r="G17" s="120">
        <f>'VMT Multipliers'!W$21</f>
        <v>0.14312195121951218</v>
      </c>
      <c r="H17" s="120">
        <f>'VMT Multipliers'!X$21</f>
        <v>0.25066787456445994</v>
      </c>
      <c r="I17" s="120">
        <f>'VMT Multipliers'!Y$21</f>
        <v>0.015675261324041814</v>
      </c>
      <c r="J17" s="120">
        <f>'VMT Multipliers'!Z$21</f>
        <v>0.061201672473867604</v>
      </c>
      <c r="K17" s="120">
        <f>'VMT Multipliers'!AA$21</f>
        <v>0.03748432055749129</v>
      </c>
      <c r="L17" s="118">
        <f>'VMT Multipliers'!W$20</f>
        <v>0.0013630662020905925</v>
      </c>
      <c r="M17" s="118">
        <f>'VMT Multipliers'!X$20</f>
        <v>0.10495609756097561</v>
      </c>
      <c r="N17" s="118">
        <f>'VMT Multipliers'!Y$20</f>
        <v>0.01622048780487805</v>
      </c>
      <c r="O17" s="118">
        <f>'VMT Multipliers'!Z$20</f>
        <v>0.01812878048780488</v>
      </c>
      <c r="P17" s="118">
        <f>'VMT Multipliers'!AA$20</f>
        <v>0.0012267595818815332</v>
      </c>
      <c r="Q17" s="128">
        <f t="shared" si="18"/>
        <v>0</v>
      </c>
      <c r="R17" s="129">
        <f t="shared" si="5"/>
        <v>0</v>
      </c>
      <c r="S17" s="130">
        <f t="shared" si="19"/>
        <v>0</v>
      </c>
      <c r="T17" s="128">
        <f t="shared" si="20"/>
        <v>0</v>
      </c>
      <c r="U17" s="129">
        <f t="shared" si="21"/>
        <v>0</v>
      </c>
      <c r="V17" s="130">
        <f t="shared" si="22"/>
        <v>0</v>
      </c>
      <c r="W17" s="128">
        <f t="shared" si="23"/>
        <v>0</v>
      </c>
      <c r="X17" s="129">
        <f t="shared" si="24"/>
        <v>0</v>
      </c>
      <c r="Y17" s="130">
        <f t="shared" si="25"/>
        <v>0</v>
      </c>
      <c r="Z17" s="128">
        <f t="shared" si="26"/>
        <v>0</v>
      </c>
      <c r="AA17" s="129">
        <f t="shared" si="27"/>
        <v>0</v>
      </c>
      <c r="AB17" s="130">
        <f t="shared" si="28"/>
        <v>0</v>
      </c>
      <c r="AC17" s="128">
        <f t="shared" si="29"/>
        <v>0</v>
      </c>
      <c r="AD17" s="129">
        <f t="shared" si="30"/>
        <v>0</v>
      </c>
      <c r="AE17" s="130">
        <f t="shared" si="31"/>
        <v>0</v>
      </c>
      <c r="AF17" s="131">
        <f t="shared" si="6"/>
        <v>0</v>
      </c>
      <c r="AG17" s="131">
        <f t="shared" si="7"/>
        <v>0</v>
      </c>
      <c r="AH17" s="132">
        <f t="shared" si="8"/>
        <v>0</v>
      </c>
      <c r="AI17" s="132">
        <f t="shared" si="9"/>
        <v>0</v>
      </c>
      <c r="AJ17" s="132">
        <f t="shared" si="10"/>
        <v>0</v>
      </c>
      <c r="AK17" s="133">
        <f t="shared" si="11"/>
        <v>0</v>
      </c>
      <c r="AL17" s="134">
        <f t="shared" si="12"/>
        <v>0</v>
      </c>
      <c r="AM17" s="135">
        <v>33.96</v>
      </c>
      <c r="AN17" s="132">
        <f t="shared" si="32"/>
        <v>0</v>
      </c>
      <c r="AO17" s="75">
        <f t="shared" si="2"/>
        <v>0.6809513399931779</v>
      </c>
      <c r="AP17" s="136">
        <f t="shared" si="33"/>
        <v>0</v>
      </c>
      <c r="AQ17" s="136">
        <f t="shared" si="34"/>
        <v>0</v>
      </c>
      <c r="AR17" s="136">
        <f t="shared" si="35"/>
        <v>0</v>
      </c>
      <c r="AS17" s="136">
        <f t="shared" si="36"/>
        <v>0</v>
      </c>
      <c r="AT17" s="136">
        <f t="shared" si="37"/>
        <v>0</v>
      </c>
      <c r="AU17" s="137">
        <f t="shared" si="38"/>
        <v>0</v>
      </c>
      <c r="AV17" s="137">
        <f t="shared" si="39"/>
        <v>0</v>
      </c>
      <c r="AW17" s="137">
        <f t="shared" si="40"/>
        <v>0</v>
      </c>
      <c r="AX17" s="137">
        <f t="shared" si="41"/>
        <v>0</v>
      </c>
      <c r="AY17" s="75">
        <f t="shared" si="3"/>
        <v>0.4149644478885376</v>
      </c>
      <c r="AZ17" s="136">
        <f t="shared" si="42"/>
        <v>0</v>
      </c>
      <c r="BA17" s="136">
        <f t="shared" si="43"/>
        <v>0</v>
      </c>
      <c r="BB17" s="136">
        <f t="shared" si="44"/>
        <v>0</v>
      </c>
      <c r="BC17" s="136">
        <f t="shared" si="45"/>
        <v>0</v>
      </c>
      <c r="BD17" s="136">
        <f t="shared" si="46"/>
        <v>0</v>
      </c>
      <c r="BE17" s="137">
        <f t="shared" si="47"/>
        <v>0</v>
      </c>
      <c r="BF17" s="137">
        <f t="shared" si="48"/>
        <v>0</v>
      </c>
      <c r="BG17" s="137">
        <f t="shared" si="49"/>
        <v>0</v>
      </c>
      <c r="BH17" s="231">
        <f t="shared" si="50"/>
        <v>0</v>
      </c>
      <c r="BI17" s="88">
        <f t="shared" si="13"/>
        <v>100000</v>
      </c>
      <c r="BJ17" s="235">
        <f t="shared" si="14"/>
        <v>68095.1339993178</v>
      </c>
      <c r="BK17" s="138">
        <f t="shared" si="15"/>
        <v>41496.44478885376</v>
      </c>
      <c r="BL17" s="88">
        <f>5000</f>
        <v>5000</v>
      </c>
      <c r="BM17" s="139">
        <f t="shared" si="16"/>
        <v>3404.7566999658898</v>
      </c>
      <c r="BN17" s="140">
        <f t="shared" si="17"/>
        <v>2074.822239442688</v>
      </c>
    </row>
    <row r="18" spans="1:66" s="155" customFormat="1" ht="15.75" thickBot="1">
      <c r="A18" s="223">
        <v>2029</v>
      </c>
      <c r="B18" s="18">
        <v>14</v>
      </c>
      <c r="C18" s="16"/>
      <c r="D18" s="18">
        <f t="shared" si="4"/>
        <v>0</v>
      </c>
      <c r="E18" s="49">
        <f t="shared" si="0"/>
        <v>0</v>
      </c>
      <c r="F18" s="50">
        <f t="shared" si="1"/>
        <v>0</v>
      </c>
      <c r="G18" s="141">
        <f>'VMT Multipliers'!W$21</f>
        <v>0.14312195121951218</v>
      </c>
      <c r="H18" s="141">
        <f>'VMT Multipliers'!X$21</f>
        <v>0.25066787456445994</v>
      </c>
      <c r="I18" s="141">
        <f>'VMT Multipliers'!Y$21</f>
        <v>0.015675261324041814</v>
      </c>
      <c r="J18" s="141">
        <f>'VMT Multipliers'!Z$21</f>
        <v>0.061201672473867604</v>
      </c>
      <c r="K18" s="141">
        <f>'VMT Multipliers'!AA$21</f>
        <v>0.03748432055749129</v>
      </c>
      <c r="L18" s="142">
        <f>'VMT Multipliers'!W$20</f>
        <v>0.0013630662020905925</v>
      </c>
      <c r="M18" s="142">
        <f>'VMT Multipliers'!X$20</f>
        <v>0.10495609756097561</v>
      </c>
      <c r="N18" s="142">
        <f>'VMT Multipliers'!Y$20</f>
        <v>0.01622048780487805</v>
      </c>
      <c r="O18" s="142">
        <f>'VMT Multipliers'!Z$20</f>
        <v>0.01812878048780488</v>
      </c>
      <c r="P18" s="142">
        <f>'VMT Multipliers'!AA$20</f>
        <v>0.0012267595818815332</v>
      </c>
      <c r="Q18" s="143">
        <f t="shared" si="18"/>
        <v>0</v>
      </c>
      <c r="R18" s="144">
        <f t="shared" si="5"/>
        <v>0</v>
      </c>
      <c r="S18" s="145">
        <f t="shared" si="19"/>
        <v>0</v>
      </c>
      <c r="T18" s="143">
        <f t="shared" si="20"/>
        <v>0</v>
      </c>
      <c r="U18" s="144">
        <f t="shared" si="21"/>
        <v>0</v>
      </c>
      <c r="V18" s="145">
        <f t="shared" si="22"/>
        <v>0</v>
      </c>
      <c r="W18" s="143">
        <f t="shared" si="23"/>
        <v>0</v>
      </c>
      <c r="X18" s="144">
        <f t="shared" si="24"/>
        <v>0</v>
      </c>
      <c r="Y18" s="145">
        <f t="shared" si="25"/>
        <v>0</v>
      </c>
      <c r="Z18" s="143">
        <f t="shared" si="26"/>
        <v>0</v>
      </c>
      <c r="AA18" s="144">
        <f t="shared" si="27"/>
        <v>0</v>
      </c>
      <c r="AB18" s="145">
        <f t="shared" si="28"/>
        <v>0</v>
      </c>
      <c r="AC18" s="143">
        <f t="shared" si="29"/>
        <v>0</v>
      </c>
      <c r="AD18" s="144">
        <f t="shared" si="30"/>
        <v>0</v>
      </c>
      <c r="AE18" s="145">
        <f t="shared" si="31"/>
        <v>0</v>
      </c>
      <c r="AF18" s="146">
        <f t="shared" si="6"/>
        <v>0</v>
      </c>
      <c r="AG18" s="146">
        <f t="shared" si="7"/>
        <v>0</v>
      </c>
      <c r="AH18" s="147">
        <f t="shared" si="8"/>
        <v>0</v>
      </c>
      <c r="AI18" s="147">
        <f t="shared" si="9"/>
        <v>0</v>
      </c>
      <c r="AJ18" s="147">
        <f t="shared" si="10"/>
        <v>0</v>
      </c>
      <c r="AK18" s="148">
        <f t="shared" si="11"/>
        <v>0</v>
      </c>
      <c r="AL18" s="149">
        <f t="shared" si="12"/>
        <v>0</v>
      </c>
      <c r="AM18" s="150">
        <v>34.53</v>
      </c>
      <c r="AN18" s="147">
        <f t="shared" si="32"/>
        <v>0</v>
      </c>
      <c r="AO18" s="151">
        <f t="shared" si="2"/>
        <v>0.6611178058186192</v>
      </c>
      <c r="AP18" s="152">
        <f t="shared" si="33"/>
        <v>0</v>
      </c>
      <c r="AQ18" s="152">
        <f t="shared" si="34"/>
        <v>0</v>
      </c>
      <c r="AR18" s="152">
        <f t="shared" si="35"/>
        <v>0</v>
      </c>
      <c r="AS18" s="152">
        <f t="shared" si="36"/>
        <v>0</v>
      </c>
      <c r="AT18" s="152">
        <f t="shared" si="37"/>
        <v>0</v>
      </c>
      <c r="AU18" s="152">
        <f t="shared" si="38"/>
        <v>0</v>
      </c>
      <c r="AV18" s="152">
        <f t="shared" si="39"/>
        <v>0</v>
      </c>
      <c r="AW18" s="152">
        <f t="shared" si="40"/>
        <v>0</v>
      </c>
      <c r="AX18" s="152">
        <f t="shared" si="41"/>
        <v>0</v>
      </c>
      <c r="AY18" s="151">
        <f t="shared" si="3"/>
        <v>0.3878172410173249</v>
      </c>
      <c r="AZ18" s="152">
        <f t="shared" si="42"/>
        <v>0</v>
      </c>
      <c r="BA18" s="152">
        <f t="shared" si="43"/>
        <v>0</v>
      </c>
      <c r="BB18" s="152">
        <f t="shared" si="44"/>
        <v>0</v>
      </c>
      <c r="BC18" s="152">
        <f t="shared" si="45"/>
        <v>0</v>
      </c>
      <c r="BD18" s="152">
        <f t="shared" si="46"/>
        <v>0</v>
      </c>
      <c r="BE18" s="152">
        <f t="shared" si="47"/>
        <v>0</v>
      </c>
      <c r="BF18" s="152">
        <f t="shared" si="48"/>
        <v>0</v>
      </c>
      <c r="BG18" s="152">
        <f t="shared" si="49"/>
        <v>0</v>
      </c>
      <c r="BH18" s="232">
        <f t="shared" si="50"/>
        <v>0</v>
      </c>
      <c r="BI18" s="152">
        <f t="shared" si="13"/>
        <v>100000</v>
      </c>
      <c r="BJ18" s="236">
        <f t="shared" si="14"/>
        <v>66111.78058186192</v>
      </c>
      <c r="BK18" s="153">
        <f t="shared" si="15"/>
        <v>38781.72410173249</v>
      </c>
      <c r="BL18" s="152">
        <f>5000</f>
        <v>5000</v>
      </c>
      <c r="BM18" s="154">
        <f t="shared" si="16"/>
        <v>3305.589029093096</v>
      </c>
      <c r="BN18" s="153">
        <f t="shared" si="17"/>
        <v>1939.0862050866244</v>
      </c>
    </row>
    <row r="19" spans="1:66" s="64" customFormat="1" ht="15">
      <c r="A19" s="72">
        <v>2030</v>
      </c>
      <c r="B19" s="222">
        <v>15</v>
      </c>
      <c r="C19" s="220"/>
      <c r="D19" s="222">
        <f t="shared" si="4"/>
        <v>0</v>
      </c>
      <c r="E19" s="51">
        <f t="shared" si="0"/>
        <v>0</v>
      </c>
      <c r="F19" s="52">
        <f t="shared" si="1"/>
        <v>0</v>
      </c>
      <c r="G19" s="169">
        <f>'VMT Multipliers'!W$21</f>
        <v>0.14312195121951218</v>
      </c>
      <c r="H19" s="169">
        <f>'VMT Multipliers'!X$21</f>
        <v>0.25066787456445994</v>
      </c>
      <c r="I19" s="169">
        <f>'VMT Multipliers'!Y$21</f>
        <v>0.015675261324041814</v>
      </c>
      <c r="J19" s="169">
        <f>'VMT Multipliers'!Z$21</f>
        <v>0.061201672473867604</v>
      </c>
      <c r="K19" s="169">
        <f>'VMT Multipliers'!AA$21</f>
        <v>0.03748432055749129</v>
      </c>
      <c r="L19" s="170">
        <f>'VMT Multipliers'!W$20</f>
        <v>0.0013630662020905925</v>
      </c>
      <c r="M19" s="170">
        <f>'VMT Multipliers'!X$20</f>
        <v>0.10495609756097561</v>
      </c>
      <c r="N19" s="170">
        <f>'VMT Multipliers'!Y$20</f>
        <v>0.01622048780487805</v>
      </c>
      <c r="O19" s="170">
        <f>'VMT Multipliers'!Z$20</f>
        <v>0.01812878048780488</v>
      </c>
      <c r="P19" s="170">
        <f>'VMT Multipliers'!AA$20</f>
        <v>0.0012267595818815332</v>
      </c>
      <c r="Q19" s="95">
        <f t="shared" si="18"/>
        <v>0</v>
      </c>
      <c r="R19" s="24">
        <f t="shared" si="5"/>
        <v>0</v>
      </c>
      <c r="S19" s="25">
        <f t="shared" si="19"/>
        <v>0</v>
      </c>
      <c r="T19" s="95">
        <f t="shared" si="20"/>
        <v>0</v>
      </c>
      <c r="U19" s="24">
        <f t="shared" si="21"/>
        <v>0</v>
      </c>
      <c r="V19" s="25">
        <f t="shared" si="22"/>
        <v>0</v>
      </c>
      <c r="W19" s="95">
        <f t="shared" si="23"/>
        <v>0</v>
      </c>
      <c r="X19" s="24">
        <f t="shared" si="24"/>
        <v>0</v>
      </c>
      <c r="Y19" s="25">
        <f t="shared" si="25"/>
        <v>0</v>
      </c>
      <c r="Z19" s="95">
        <f t="shared" si="26"/>
        <v>0</v>
      </c>
      <c r="AA19" s="24">
        <f t="shared" si="27"/>
        <v>0</v>
      </c>
      <c r="AB19" s="25">
        <f t="shared" si="28"/>
        <v>0</v>
      </c>
      <c r="AC19" s="95">
        <f t="shared" si="29"/>
        <v>0</v>
      </c>
      <c r="AD19" s="24">
        <f t="shared" si="30"/>
        <v>0</v>
      </c>
      <c r="AE19" s="25">
        <f t="shared" si="31"/>
        <v>0</v>
      </c>
      <c r="AF19" s="20">
        <f t="shared" si="6"/>
        <v>0</v>
      </c>
      <c r="AG19" s="20">
        <f t="shared" si="7"/>
        <v>0</v>
      </c>
      <c r="AH19" s="29">
        <f t="shared" si="8"/>
        <v>0</v>
      </c>
      <c r="AI19" s="29">
        <f t="shared" si="9"/>
        <v>0</v>
      </c>
      <c r="AJ19" s="29">
        <f t="shared" si="10"/>
        <v>0</v>
      </c>
      <c r="AK19" s="33">
        <f t="shared" si="11"/>
        <v>0</v>
      </c>
      <c r="AL19" s="32">
        <f t="shared" si="12"/>
        <v>0</v>
      </c>
      <c r="AM19" s="68">
        <v>35.1</v>
      </c>
      <c r="AN19" s="29">
        <f t="shared" si="32"/>
        <v>0</v>
      </c>
      <c r="AO19" s="67">
        <f t="shared" si="2"/>
        <v>0.6418619473967176</v>
      </c>
      <c r="AP19" s="87">
        <f t="shared" si="33"/>
        <v>0</v>
      </c>
      <c r="AQ19" s="87">
        <f t="shared" si="34"/>
        <v>0</v>
      </c>
      <c r="AR19" s="87">
        <f t="shared" si="35"/>
        <v>0</v>
      </c>
      <c r="AS19" s="87">
        <f t="shared" si="36"/>
        <v>0</v>
      </c>
      <c r="AT19" s="87">
        <f t="shared" si="37"/>
        <v>0</v>
      </c>
      <c r="AU19" s="87">
        <f t="shared" si="38"/>
        <v>0</v>
      </c>
      <c r="AV19" s="87">
        <f t="shared" si="39"/>
        <v>0</v>
      </c>
      <c r="AW19" s="87">
        <f t="shared" si="40"/>
        <v>0</v>
      </c>
      <c r="AX19" s="87">
        <f t="shared" si="41"/>
        <v>0</v>
      </c>
      <c r="AY19" s="67">
        <f t="shared" si="3"/>
        <v>0.3624460196423597</v>
      </c>
      <c r="AZ19" s="87">
        <f t="shared" si="42"/>
        <v>0</v>
      </c>
      <c r="BA19" s="87">
        <f t="shared" si="43"/>
        <v>0</v>
      </c>
      <c r="BB19" s="87">
        <f t="shared" si="44"/>
        <v>0</v>
      </c>
      <c r="BC19" s="87">
        <f t="shared" si="45"/>
        <v>0</v>
      </c>
      <c r="BD19" s="87">
        <f t="shared" si="46"/>
        <v>0</v>
      </c>
      <c r="BE19" s="87">
        <f t="shared" si="47"/>
        <v>0</v>
      </c>
      <c r="BF19" s="87">
        <f t="shared" si="48"/>
        <v>0</v>
      </c>
      <c r="BG19" s="87">
        <f t="shared" si="49"/>
        <v>0</v>
      </c>
      <c r="BH19" s="73">
        <f t="shared" si="50"/>
        <v>0</v>
      </c>
      <c r="BI19" s="87">
        <f t="shared" si="13"/>
        <v>100000</v>
      </c>
      <c r="BJ19" s="238">
        <f>BI19*AO19</f>
        <v>64186.194739671766</v>
      </c>
      <c r="BK19" s="239">
        <f>BI19*AY19</f>
        <v>36244.60196423597</v>
      </c>
      <c r="BL19" s="87">
        <f>5000</f>
        <v>5000</v>
      </c>
      <c r="BM19" s="97">
        <f t="shared" si="16"/>
        <v>3209.309736983588</v>
      </c>
      <c r="BN19" s="96">
        <f t="shared" si="17"/>
        <v>1812.2300982117983</v>
      </c>
    </row>
    <row r="20" spans="1:66" s="224" customFormat="1" ht="15">
      <c r="A20" s="72">
        <v>2031</v>
      </c>
      <c r="B20" s="222">
        <v>16</v>
      </c>
      <c r="C20" s="220"/>
      <c r="D20" s="222">
        <f t="shared" si="4"/>
        <v>0</v>
      </c>
      <c r="E20" s="51">
        <f t="shared" si="0"/>
        <v>0</v>
      </c>
      <c r="F20" s="52">
        <f t="shared" si="1"/>
        <v>0</v>
      </c>
      <c r="G20" s="120">
        <f>'VMT Multipliers'!W$21</f>
        <v>0.14312195121951218</v>
      </c>
      <c r="H20" s="120">
        <f>'VMT Multipliers'!X$21</f>
        <v>0.25066787456445994</v>
      </c>
      <c r="I20" s="120">
        <f>'VMT Multipliers'!Y$21</f>
        <v>0.015675261324041814</v>
      </c>
      <c r="J20" s="120">
        <f>'VMT Multipliers'!Z$21</f>
        <v>0.061201672473867604</v>
      </c>
      <c r="K20" s="120">
        <f>'VMT Multipliers'!AA$21</f>
        <v>0.03748432055749129</v>
      </c>
      <c r="L20" s="118">
        <f>'VMT Multipliers'!W$20</f>
        <v>0.0013630662020905925</v>
      </c>
      <c r="M20" s="118">
        <f>'VMT Multipliers'!X$20</f>
        <v>0.10495609756097561</v>
      </c>
      <c r="N20" s="118">
        <f>'VMT Multipliers'!Y$20</f>
        <v>0.01622048780487805</v>
      </c>
      <c r="O20" s="118">
        <f>'VMT Multipliers'!Z$20</f>
        <v>0.01812878048780488</v>
      </c>
      <c r="P20" s="118">
        <f>'VMT Multipliers'!AA$20</f>
        <v>0.0012267595818815332</v>
      </c>
      <c r="Q20" s="95">
        <f t="shared" si="18"/>
        <v>0</v>
      </c>
      <c r="R20" s="24">
        <f t="shared" si="5"/>
        <v>0</v>
      </c>
      <c r="S20" s="25">
        <f t="shared" si="19"/>
        <v>0</v>
      </c>
      <c r="T20" s="95">
        <f t="shared" si="20"/>
        <v>0</v>
      </c>
      <c r="U20" s="24">
        <f t="shared" si="21"/>
        <v>0</v>
      </c>
      <c r="V20" s="25">
        <f t="shared" si="22"/>
        <v>0</v>
      </c>
      <c r="W20" s="95">
        <f t="shared" si="23"/>
        <v>0</v>
      </c>
      <c r="X20" s="24">
        <f t="shared" si="24"/>
        <v>0</v>
      </c>
      <c r="Y20" s="25">
        <f t="shared" si="25"/>
        <v>0</v>
      </c>
      <c r="Z20" s="95">
        <f t="shared" si="26"/>
        <v>0</v>
      </c>
      <c r="AA20" s="24">
        <f t="shared" si="27"/>
        <v>0</v>
      </c>
      <c r="AB20" s="25">
        <f t="shared" si="28"/>
        <v>0</v>
      </c>
      <c r="AC20" s="95">
        <f t="shared" si="29"/>
        <v>0</v>
      </c>
      <c r="AD20" s="24">
        <f t="shared" si="30"/>
        <v>0</v>
      </c>
      <c r="AE20" s="25">
        <f t="shared" si="31"/>
        <v>0</v>
      </c>
      <c r="AF20" s="20">
        <f t="shared" si="6"/>
        <v>0</v>
      </c>
      <c r="AG20" s="20">
        <f t="shared" si="7"/>
        <v>0</v>
      </c>
      <c r="AH20" s="29">
        <f t="shared" si="8"/>
        <v>0</v>
      </c>
      <c r="AI20" s="29">
        <f t="shared" si="9"/>
        <v>0</v>
      </c>
      <c r="AJ20" s="29">
        <f t="shared" si="10"/>
        <v>0</v>
      </c>
      <c r="AK20" s="33">
        <f t="shared" si="11"/>
        <v>0</v>
      </c>
      <c r="AL20" s="32">
        <f t="shared" si="12"/>
        <v>0</v>
      </c>
      <c r="AM20" s="68">
        <v>35.67</v>
      </c>
      <c r="AN20" s="29">
        <f t="shared" si="32"/>
        <v>0</v>
      </c>
      <c r="AO20" s="67">
        <f t="shared" si="2"/>
        <v>0.6231669392201143</v>
      </c>
      <c r="AP20" s="87">
        <f t="shared" si="33"/>
        <v>0</v>
      </c>
      <c r="AQ20" s="87">
        <f t="shared" si="34"/>
        <v>0</v>
      </c>
      <c r="AR20" s="87">
        <f t="shared" si="35"/>
        <v>0</v>
      </c>
      <c r="AS20" s="87">
        <f t="shared" si="36"/>
        <v>0</v>
      </c>
      <c r="AT20" s="87">
        <f t="shared" si="37"/>
        <v>0</v>
      </c>
      <c r="AU20" s="87">
        <f t="shared" si="38"/>
        <v>0</v>
      </c>
      <c r="AV20" s="87">
        <f t="shared" si="39"/>
        <v>0</v>
      </c>
      <c r="AW20" s="87">
        <f t="shared" si="40"/>
        <v>0</v>
      </c>
      <c r="AX20" s="87">
        <f t="shared" si="41"/>
        <v>0</v>
      </c>
      <c r="AY20" s="67">
        <f t="shared" si="3"/>
        <v>0.33873459779659787</v>
      </c>
      <c r="AZ20" s="87">
        <f t="shared" si="42"/>
        <v>0</v>
      </c>
      <c r="BA20" s="87">
        <f t="shared" si="43"/>
        <v>0</v>
      </c>
      <c r="BB20" s="87">
        <f t="shared" si="44"/>
        <v>0</v>
      </c>
      <c r="BC20" s="87">
        <f t="shared" si="45"/>
        <v>0</v>
      </c>
      <c r="BD20" s="87">
        <f t="shared" si="46"/>
        <v>0</v>
      </c>
      <c r="BE20" s="87">
        <f t="shared" si="47"/>
        <v>0</v>
      </c>
      <c r="BF20" s="87">
        <f t="shared" si="48"/>
        <v>0</v>
      </c>
      <c r="BG20" s="87">
        <f t="shared" si="49"/>
        <v>0</v>
      </c>
      <c r="BH20" s="73">
        <f t="shared" si="50"/>
        <v>0</v>
      </c>
      <c r="BI20" s="88">
        <f t="shared" si="13"/>
        <v>100000</v>
      </c>
      <c r="BJ20" s="95">
        <f>BI20*AO20</f>
        <v>62316.69392201144</v>
      </c>
      <c r="BK20" s="96">
        <f>BI20*AY20</f>
        <v>33873.45977965979</v>
      </c>
      <c r="BL20" s="88">
        <f>5000</f>
        <v>5000</v>
      </c>
      <c r="BM20" s="97">
        <f t="shared" si="16"/>
        <v>3115.834696100572</v>
      </c>
      <c r="BN20" s="96">
        <f t="shared" si="17"/>
        <v>1693.6729889829894</v>
      </c>
    </row>
    <row r="21" spans="1:66" s="224" customFormat="1" ht="15">
      <c r="A21" s="71">
        <v>2032</v>
      </c>
      <c r="B21" s="15">
        <v>17</v>
      </c>
      <c r="C21" s="220"/>
      <c r="D21" s="222">
        <f t="shared" si="4"/>
        <v>0</v>
      </c>
      <c r="E21" s="47">
        <f t="shared" si="0"/>
        <v>0</v>
      </c>
      <c r="F21" s="48">
        <f t="shared" si="1"/>
        <v>0</v>
      </c>
      <c r="G21" s="120">
        <f>'VMT Multipliers'!W$21</f>
        <v>0.14312195121951218</v>
      </c>
      <c r="H21" s="120">
        <f>'VMT Multipliers'!X$21</f>
        <v>0.25066787456445994</v>
      </c>
      <c r="I21" s="120">
        <f>'VMT Multipliers'!Y$21</f>
        <v>0.015675261324041814</v>
      </c>
      <c r="J21" s="120">
        <f>'VMT Multipliers'!Z$21</f>
        <v>0.061201672473867604</v>
      </c>
      <c r="K21" s="120">
        <f>'VMT Multipliers'!AA$21</f>
        <v>0.03748432055749129</v>
      </c>
      <c r="L21" s="118">
        <f>'VMT Multipliers'!W$20</f>
        <v>0.0013630662020905925</v>
      </c>
      <c r="M21" s="118">
        <f>'VMT Multipliers'!X$20</f>
        <v>0.10495609756097561</v>
      </c>
      <c r="N21" s="118">
        <f>'VMT Multipliers'!Y$20</f>
        <v>0.01622048780487805</v>
      </c>
      <c r="O21" s="118">
        <f>'VMT Multipliers'!Z$20</f>
        <v>0.01812878048780488</v>
      </c>
      <c r="P21" s="118">
        <f>'VMT Multipliers'!AA$20</f>
        <v>0.0012267595818815332</v>
      </c>
      <c r="Q21" s="91">
        <f t="shared" si="18"/>
        <v>0</v>
      </c>
      <c r="R21" s="27">
        <f t="shared" si="5"/>
        <v>0</v>
      </c>
      <c r="S21" s="28">
        <f t="shared" si="19"/>
        <v>0</v>
      </c>
      <c r="T21" s="91">
        <f t="shared" si="20"/>
        <v>0</v>
      </c>
      <c r="U21" s="27">
        <f t="shared" si="21"/>
        <v>0</v>
      </c>
      <c r="V21" s="28">
        <f t="shared" si="22"/>
        <v>0</v>
      </c>
      <c r="W21" s="91">
        <f t="shared" si="23"/>
        <v>0</v>
      </c>
      <c r="X21" s="27">
        <f t="shared" si="24"/>
        <v>0</v>
      </c>
      <c r="Y21" s="28">
        <f t="shared" si="25"/>
        <v>0</v>
      </c>
      <c r="Z21" s="91">
        <f t="shared" si="26"/>
        <v>0</v>
      </c>
      <c r="AA21" s="27">
        <f t="shared" si="27"/>
        <v>0</v>
      </c>
      <c r="AB21" s="28">
        <f t="shared" si="28"/>
        <v>0</v>
      </c>
      <c r="AC21" s="91">
        <f t="shared" si="29"/>
        <v>0</v>
      </c>
      <c r="AD21" s="27">
        <f t="shared" si="30"/>
        <v>0</v>
      </c>
      <c r="AE21" s="28">
        <f t="shared" si="31"/>
        <v>0</v>
      </c>
      <c r="AF21" s="20">
        <f t="shared" si="6"/>
        <v>0</v>
      </c>
      <c r="AG21" s="20">
        <f t="shared" si="7"/>
        <v>0</v>
      </c>
      <c r="AH21" s="29">
        <f t="shared" si="8"/>
        <v>0</v>
      </c>
      <c r="AI21" s="29">
        <f t="shared" si="9"/>
        <v>0</v>
      </c>
      <c r="AJ21" s="29">
        <f t="shared" si="10"/>
        <v>0</v>
      </c>
      <c r="AK21" s="33">
        <f t="shared" si="11"/>
        <v>0</v>
      </c>
      <c r="AL21" s="32">
        <f t="shared" si="12"/>
        <v>0</v>
      </c>
      <c r="AM21" s="68">
        <v>36.24</v>
      </c>
      <c r="AN21" s="29">
        <f t="shared" si="32"/>
        <v>0</v>
      </c>
      <c r="AO21" s="67">
        <f t="shared" si="2"/>
        <v>0.6050164458447712</v>
      </c>
      <c r="AP21" s="88">
        <f t="shared" si="33"/>
        <v>0</v>
      </c>
      <c r="AQ21" s="88">
        <f t="shared" si="34"/>
        <v>0</v>
      </c>
      <c r="AR21" s="88">
        <f t="shared" si="35"/>
        <v>0</v>
      </c>
      <c r="AS21" s="88">
        <f t="shared" si="36"/>
        <v>0</v>
      </c>
      <c r="AT21" s="88">
        <f t="shared" si="37"/>
        <v>0</v>
      </c>
      <c r="AU21" s="87">
        <f t="shared" si="38"/>
        <v>0</v>
      </c>
      <c r="AV21" s="87">
        <f t="shared" si="39"/>
        <v>0</v>
      </c>
      <c r="AW21" s="87">
        <f t="shared" si="40"/>
        <v>0</v>
      </c>
      <c r="AX21" s="87">
        <f t="shared" si="41"/>
        <v>0</v>
      </c>
      <c r="AY21" s="67">
        <f t="shared" si="3"/>
        <v>0.3165743904641102</v>
      </c>
      <c r="AZ21" s="88">
        <f t="shared" si="42"/>
        <v>0</v>
      </c>
      <c r="BA21" s="88">
        <f t="shared" si="43"/>
        <v>0</v>
      </c>
      <c r="BB21" s="88">
        <f t="shared" si="44"/>
        <v>0</v>
      </c>
      <c r="BC21" s="88">
        <f t="shared" si="45"/>
        <v>0</v>
      </c>
      <c r="BD21" s="88">
        <f t="shared" si="46"/>
        <v>0</v>
      </c>
      <c r="BE21" s="87">
        <f t="shared" si="47"/>
        <v>0</v>
      </c>
      <c r="BF21" s="87">
        <f t="shared" si="48"/>
        <v>0</v>
      </c>
      <c r="BG21" s="87">
        <f t="shared" si="49"/>
        <v>0</v>
      </c>
      <c r="BH21" s="73">
        <f t="shared" si="50"/>
        <v>0</v>
      </c>
      <c r="BI21" s="88">
        <f t="shared" si="13"/>
        <v>100000</v>
      </c>
      <c r="BJ21" s="95">
        <f aca="true" t="shared" si="51" ref="BJ21:BJ34">BI21*AO21</f>
        <v>60501.64458447712</v>
      </c>
      <c r="BK21" s="96">
        <f aca="true" t="shared" si="52" ref="BK21:BK34">BI21*AY21</f>
        <v>31657.43904641102</v>
      </c>
      <c r="BL21" s="88">
        <f>5000</f>
        <v>5000</v>
      </c>
      <c r="BM21" s="97">
        <f t="shared" si="16"/>
        <v>3025.082229223856</v>
      </c>
      <c r="BN21" s="96">
        <f t="shared" si="17"/>
        <v>1582.871952320551</v>
      </c>
    </row>
    <row r="22" spans="1:66" s="224" customFormat="1" ht="15">
      <c r="A22" s="72">
        <v>2033</v>
      </c>
      <c r="B22" s="222">
        <v>18</v>
      </c>
      <c r="C22" s="220"/>
      <c r="D22" s="222">
        <f t="shared" si="4"/>
        <v>0</v>
      </c>
      <c r="E22" s="47">
        <f t="shared" si="0"/>
        <v>0</v>
      </c>
      <c r="F22" s="48">
        <f t="shared" si="1"/>
        <v>0</v>
      </c>
      <c r="G22" s="120">
        <f>'VMT Multipliers'!W$21</f>
        <v>0.14312195121951218</v>
      </c>
      <c r="H22" s="120">
        <f>'VMT Multipliers'!X$21</f>
        <v>0.25066787456445994</v>
      </c>
      <c r="I22" s="120">
        <f>'VMT Multipliers'!Y$21</f>
        <v>0.015675261324041814</v>
      </c>
      <c r="J22" s="120">
        <f>'VMT Multipliers'!Z$21</f>
        <v>0.061201672473867604</v>
      </c>
      <c r="K22" s="120">
        <f>'VMT Multipliers'!AA$21</f>
        <v>0.03748432055749129</v>
      </c>
      <c r="L22" s="118">
        <f>'VMT Multipliers'!W$20</f>
        <v>0.0013630662020905925</v>
      </c>
      <c r="M22" s="118">
        <f>'VMT Multipliers'!X$20</f>
        <v>0.10495609756097561</v>
      </c>
      <c r="N22" s="118">
        <f>'VMT Multipliers'!Y$20</f>
        <v>0.01622048780487805</v>
      </c>
      <c r="O22" s="118">
        <f>'VMT Multipliers'!Z$20</f>
        <v>0.01812878048780488</v>
      </c>
      <c r="P22" s="118">
        <f>'VMT Multipliers'!AA$20</f>
        <v>0.0012267595818815332</v>
      </c>
      <c r="Q22" s="91">
        <f t="shared" si="18"/>
        <v>0</v>
      </c>
      <c r="R22" s="27">
        <f t="shared" si="5"/>
        <v>0</v>
      </c>
      <c r="S22" s="28">
        <f t="shared" si="19"/>
        <v>0</v>
      </c>
      <c r="T22" s="91">
        <f t="shared" si="20"/>
        <v>0</v>
      </c>
      <c r="U22" s="27">
        <f t="shared" si="21"/>
        <v>0</v>
      </c>
      <c r="V22" s="28">
        <f t="shared" si="22"/>
        <v>0</v>
      </c>
      <c r="W22" s="91">
        <f t="shared" si="23"/>
        <v>0</v>
      </c>
      <c r="X22" s="27">
        <f t="shared" si="24"/>
        <v>0</v>
      </c>
      <c r="Y22" s="28">
        <f t="shared" si="25"/>
        <v>0</v>
      </c>
      <c r="Z22" s="91">
        <f t="shared" si="26"/>
        <v>0</v>
      </c>
      <c r="AA22" s="27">
        <f t="shared" si="27"/>
        <v>0</v>
      </c>
      <c r="AB22" s="28">
        <f t="shared" si="28"/>
        <v>0</v>
      </c>
      <c r="AC22" s="91">
        <f t="shared" si="29"/>
        <v>0</v>
      </c>
      <c r="AD22" s="27">
        <f t="shared" si="30"/>
        <v>0</v>
      </c>
      <c r="AE22" s="28">
        <f t="shared" si="31"/>
        <v>0</v>
      </c>
      <c r="AF22" s="20">
        <f t="shared" si="6"/>
        <v>0</v>
      </c>
      <c r="AG22" s="20">
        <f t="shared" si="7"/>
        <v>0</v>
      </c>
      <c r="AH22" s="29">
        <f t="shared" si="8"/>
        <v>0</v>
      </c>
      <c r="AI22" s="29">
        <f t="shared" si="9"/>
        <v>0</v>
      </c>
      <c r="AJ22" s="29">
        <f t="shared" si="10"/>
        <v>0</v>
      </c>
      <c r="AK22" s="33">
        <f t="shared" si="11"/>
        <v>0</v>
      </c>
      <c r="AL22" s="32">
        <f t="shared" si="12"/>
        <v>0</v>
      </c>
      <c r="AM22" s="68">
        <v>36.81</v>
      </c>
      <c r="AN22" s="29">
        <f t="shared" si="32"/>
        <v>0</v>
      </c>
      <c r="AO22" s="67">
        <f t="shared" si="2"/>
        <v>0.5873946076162827</v>
      </c>
      <c r="AP22" s="88">
        <f t="shared" si="33"/>
        <v>0</v>
      </c>
      <c r="AQ22" s="88">
        <f t="shared" si="34"/>
        <v>0</v>
      </c>
      <c r="AR22" s="88">
        <f t="shared" si="35"/>
        <v>0</v>
      </c>
      <c r="AS22" s="88">
        <f t="shared" si="36"/>
        <v>0</v>
      </c>
      <c r="AT22" s="88">
        <f t="shared" si="37"/>
        <v>0</v>
      </c>
      <c r="AU22" s="87">
        <f t="shared" si="38"/>
        <v>0</v>
      </c>
      <c r="AV22" s="87">
        <f t="shared" si="39"/>
        <v>0</v>
      </c>
      <c r="AW22" s="87">
        <f t="shared" si="40"/>
        <v>0</v>
      </c>
      <c r="AX22" s="87">
        <f t="shared" si="41"/>
        <v>0</v>
      </c>
      <c r="AY22" s="67">
        <f t="shared" si="3"/>
        <v>0.29586391632159825</v>
      </c>
      <c r="AZ22" s="88">
        <f t="shared" si="42"/>
        <v>0</v>
      </c>
      <c r="BA22" s="88">
        <f t="shared" si="43"/>
        <v>0</v>
      </c>
      <c r="BB22" s="88">
        <f t="shared" si="44"/>
        <v>0</v>
      </c>
      <c r="BC22" s="88">
        <f t="shared" si="45"/>
        <v>0</v>
      </c>
      <c r="BD22" s="88">
        <f t="shared" si="46"/>
        <v>0</v>
      </c>
      <c r="BE22" s="87">
        <f t="shared" si="47"/>
        <v>0</v>
      </c>
      <c r="BF22" s="87">
        <f t="shared" si="48"/>
        <v>0</v>
      </c>
      <c r="BG22" s="87">
        <f t="shared" si="49"/>
        <v>0</v>
      </c>
      <c r="BH22" s="73">
        <f t="shared" si="50"/>
        <v>0</v>
      </c>
      <c r="BI22" s="88">
        <f t="shared" si="13"/>
        <v>100000</v>
      </c>
      <c r="BJ22" s="95">
        <f t="shared" si="51"/>
        <v>58739.460761628274</v>
      </c>
      <c r="BK22" s="96">
        <f t="shared" si="52"/>
        <v>29586.391632159826</v>
      </c>
      <c r="BL22" s="88">
        <f>5000</f>
        <v>5000</v>
      </c>
      <c r="BM22" s="97">
        <f t="shared" si="16"/>
        <v>2936.9730380814135</v>
      </c>
      <c r="BN22" s="96">
        <f t="shared" si="17"/>
        <v>1479.3195816079913</v>
      </c>
    </row>
    <row r="23" spans="1:66" s="224" customFormat="1" ht="15">
      <c r="A23" s="71">
        <v>2034</v>
      </c>
      <c r="B23" s="15">
        <v>19</v>
      </c>
      <c r="C23" s="220"/>
      <c r="D23" s="222">
        <f t="shared" si="4"/>
        <v>0</v>
      </c>
      <c r="E23" s="47">
        <f t="shared" si="0"/>
        <v>0</v>
      </c>
      <c r="F23" s="48">
        <f t="shared" si="1"/>
        <v>0</v>
      </c>
      <c r="G23" s="120">
        <f>'VMT Multipliers'!W$21</f>
        <v>0.14312195121951218</v>
      </c>
      <c r="H23" s="120">
        <f>'VMT Multipliers'!X$21</f>
        <v>0.25066787456445994</v>
      </c>
      <c r="I23" s="120">
        <f>'VMT Multipliers'!Y$21</f>
        <v>0.015675261324041814</v>
      </c>
      <c r="J23" s="120">
        <f>'VMT Multipliers'!Z$21</f>
        <v>0.061201672473867604</v>
      </c>
      <c r="K23" s="120">
        <f>'VMT Multipliers'!AA$21</f>
        <v>0.03748432055749129</v>
      </c>
      <c r="L23" s="118">
        <f>'VMT Multipliers'!W$20</f>
        <v>0.0013630662020905925</v>
      </c>
      <c r="M23" s="118">
        <f>'VMT Multipliers'!X$20</f>
        <v>0.10495609756097561</v>
      </c>
      <c r="N23" s="118">
        <f>'VMT Multipliers'!Y$20</f>
        <v>0.01622048780487805</v>
      </c>
      <c r="O23" s="118">
        <f>'VMT Multipliers'!Z$20</f>
        <v>0.01812878048780488</v>
      </c>
      <c r="P23" s="118">
        <f>'VMT Multipliers'!AA$20</f>
        <v>0.0012267595818815332</v>
      </c>
      <c r="Q23" s="91">
        <f t="shared" si="18"/>
        <v>0</v>
      </c>
      <c r="R23" s="27">
        <f t="shared" si="5"/>
        <v>0</v>
      </c>
      <c r="S23" s="28">
        <f t="shared" si="19"/>
        <v>0</v>
      </c>
      <c r="T23" s="91">
        <f t="shared" si="20"/>
        <v>0</v>
      </c>
      <c r="U23" s="27">
        <f t="shared" si="21"/>
        <v>0</v>
      </c>
      <c r="V23" s="28">
        <f t="shared" si="22"/>
        <v>0</v>
      </c>
      <c r="W23" s="91">
        <f t="shared" si="23"/>
        <v>0</v>
      </c>
      <c r="X23" s="27">
        <f t="shared" si="24"/>
        <v>0</v>
      </c>
      <c r="Y23" s="28">
        <f t="shared" si="25"/>
        <v>0</v>
      </c>
      <c r="Z23" s="91">
        <f t="shared" si="26"/>
        <v>0</v>
      </c>
      <c r="AA23" s="27">
        <f t="shared" si="27"/>
        <v>0</v>
      </c>
      <c r="AB23" s="28">
        <f t="shared" si="28"/>
        <v>0</v>
      </c>
      <c r="AC23" s="91">
        <f t="shared" si="29"/>
        <v>0</v>
      </c>
      <c r="AD23" s="27">
        <f t="shared" si="30"/>
        <v>0</v>
      </c>
      <c r="AE23" s="28">
        <f t="shared" si="31"/>
        <v>0</v>
      </c>
      <c r="AF23" s="20">
        <f t="shared" si="6"/>
        <v>0</v>
      </c>
      <c r="AG23" s="20">
        <f t="shared" si="7"/>
        <v>0</v>
      </c>
      <c r="AH23" s="29">
        <f t="shared" si="8"/>
        <v>0</v>
      </c>
      <c r="AI23" s="29">
        <f t="shared" si="9"/>
        <v>0</v>
      </c>
      <c r="AJ23" s="29">
        <f t="shared" si="10"/>
        <v>0</v>
      </c>
      <c r="AK23" s="33">
        <f t="shared" si="11"/>
        <v>0</v>
      </c>
      <c r="AL23" s="32">
        <f t="shared" si="12"/>
        <v>0</v>
      </c>
      <c r="AM23" s="68">
        <v>37.38</v>
      </c>
      <c r="AN23" s="29">
        <f t="shared" si="32"/>
        <v>0</v>
      </c>
      <c r="AO23" s="67">
        <f t="shared" si="2"/>
        <v>0.570286026811925</v>
      </c>
      <c r="AP23" s="88">
        <f t="shared" si="33"/>
        <v>0</v>
      </c>
      <c r="AQ23" s="88">
        <f t="shared" si="34"/>
        <v>0</v>
      </c>
      <c r="AR23" s="88">
        <f t="shared" si="35"/>
        <v>0</v>
      </c>
      <c r="AS23" s="88">
        <f t="shared" si="36"/>
        <v>0</v>
      </c>
      <c r="AT23" s="88">
        <f t="shared" si="37"/>
        <v>0</v>
      </c>
      <c r="AU23" s="87">
        <f t="shared" si="38"/>
        <v>0</v>
      </c>
      <c r="AV23" s="87">
        <f t="shared" si="39"/>
        <v>0</v>
      </c>
      <c r="AW23" s="87">
        <f t="shared" si="40"/>
        <v>0</v>
      </c>
      <c r="AX23" s="87">
        <f t="shared" si="41"/>
        <v>0</v>
      </c>
      <c r="AY23" s="67">
        <f t="shared" si="3"/>
        <v>0.2765083330108395</v>
      </c>
      <c r="AZ23" s="88">
        <f t="shared" si="42"/>
        <v>0</v>
      </c>
      <c r="BA23" s="88">
        <f t="shared" si="43"/>
        <v>0</v>
      </c>
      <c r="BB23" s="88">
        <f t="shared" si="44"/>
        <v>0</v>
      </c>
      <c r="BC23" s="88">
        <f t="shared" si="45"/>
        <v>0</v>
      </c>
      <c r="BD23" s="88">
        <f t="shared" si="46"/>
        <v>0</v>
      </c>
      <c r="BE23" s="87">
        <f t="shared" si="47"/>
        <v>0</v>
      </c>
      <c r="BF23" s="87">
        <f t="shared" si="48"/>
        <v>0</v>
      </c>
      <c r="BG23" s="87">
        <f t="shared" si="49"/>
        <v>0</v>
      </c>
      <c r="BH23" s="73">
        <f t="shared" si="50"/>
        <v>0</v>
      </c>
      <c r="BI23" s="88">
        <f t="shared" si="13"/>
        <v>100000</v>
      </c>
      <c r="BJ23" s="95">
        <f t="shared" si="51"/>
        <v>57028.6026811925</v>
      </c>
      <c r="BK23" s="96">
        <f t="shared" si="52"/>
        <v>27650.83330108395</v>
      </c>
      <c r="BL23" s="88">
        <f>5000</f>
        <v>5000</v>
      </c>
      <c r="BM23" s="97">
        <f t="shared" si="16"/>
        <v>2851.430134059625</v>
      </c>
      <c r="BN23" s="96">
        <f t="shared" si="17"/>
        <v>1382.5416650541974</v>
      </c>
    </row>
    <row r="24" spans="1:66" s="224" customFormat="1" ht="15">
      <c r="A24" s="72">
        <v>2035</v>
      </c>
      <c r="B24" s="222">
        <v>20</v>
      </c>
      <c r="C24" s="220"/>
      <c r="D24" s="222">
        <f t="shared" si="4"/>
        <v>0</v>
      </c>
      <c r="E24" s="47">
        <f t="shared" si="0"/>
        <v>0</v>
      </c>
      <c r="F24" s="48">
        <f t="shared" si="1"/>
        <v>0</v>
      </c>
      <c r="G24" s="120">
        <f>'VMT Multipliers'!W$21</f>
        <v>0.14312195121951218</v>
      </c>
      <c r="H24" s="120">
        <f>'VMT Multipliers'!X$21</f>
        <v>0.25066787456445994</v>
      </c>
      <c r="I24" s="120">
        <f>'VMT Multipliers'!Y$21</f>
        <v>0.015675261324041814</v>
      </c>
      <c r="J24" s="120">
        <f>'VMT Multipliers'!Z$21</f>
        <v>0.061201672473867604</v>
      </c>
      <c r="K24" s="120">
        <f>'VMT Multipliers'!AA$21</f>
        <v>0.03748432055749129</v>
      </c>
      <c r="L24" s="118">
        <f>'VMT Multipliers'!W$20</f>
        <v>0.0013630662020905925</v>
      </c>
      <c r="M24" s="118">
        <f>'VMT Multipliers'!X$20</f>
        <v>0.10495609756097561</v>
      </c>
      <c r="N24" s="118">
        <f>'VMT Multipliers'!Y$20</f>
        <v>0.01622048780487805</v>
      </c>
      <c r="O24" s="118">
        <f>'VMT Multipliers'!Z$20</f>
        <v>0.01812878048780488</v>
      </c>
      <c r="P24" s="118">
        <f>'VMT Multipliers'!AA$20</f>
        <v>0.0012267595818815332</v>
      </c>
      <c r="Q24" s="91">
        <f t="shared" si="18"/>
        <v>0</v>
      </c>
      <c r="R24" s="27">
        <f t="shared" si="5"/>
        <v>0</v>
      </c>
      <c r="S24" s="28">
        <f t="shared" si="19"/>
        <v>0</v>
      </c>
      <c r="T24" s="91">
        <f t="shared" si="20"/>
        <v>0</v>
      </c>
      <c r="U24" s="27">
        <f t="shared" si="21"/>
        <v>0</v>
      </c>
      <c r="V24" s="28">
        <f t="shared" si="22"/>
        <v>0</v>
      </c>
      <c r="W24" s="91">
        <f t="shared" si="23"/>
        <v>0</v>
      </c>
      <c r="X24" s="27">
        <f t="shared" si="24"/>
        <v>0</v>
      </c>
      <c r="Y24" s="28">
        <f t="shared" si="25"/>
        <v>0</v>
      </c>
      <c r="Z24" s="91">
        <f t="shared" si="26"/>
        <v>0</v>
      </c>
      <c r="AA24" s="27">
        <f t="shared" si="27"/>
        <v>0</v>
      </c>
      <c r="AB24" s="28">
        <f t="shared" si="28"/>
        <v>0</v>
      </c>
      <c r="AC24" s="91">
        <f t="shared" si="29"/>
        <v>0</v>
      </c>
      <c r="AD24" s="27">
        <f t="shared" si="30"/>
        <v>0</v>
      </c>
      <c r="AE24" s="28">
        <f t="shared" si="31"/>
        <v>0</v>
      </c>
      <c r="AF24" s="20">
        <f t="shared" si="6"/>
        <v>0</v>
      </c>
      <c r="AG24" s="20">
        <f t="shared" si="7"/>
        <v>0</v>
      </c>
      <c r="AH24" s="29">
        <f t="shared" si="8"/>
        <v>0</v>
      </c>
      <c r="AI24" s="29">
        <f t="shared" si="9"/>
        <v>0</v>
      </c>
      <c r="AJ24" s="29">
        <f t="shared" si="10"/>
        <v>0</v>
      </c>
      <c r="AK24" s="33">
        <f t="shared" si="11"/>
        <v>0</v>
      </c>
      <c r="AL24" s="32">
        <f t="shared" si="12"/>
        <v>0</v>
      </c>
      <c r="AM24" s="68">
        <v>37.95</v>
      </c>
      <c r="AN24" s="29">
        <f t="shared" si="32"/>
        <v>0</v>
      </c>
      <c r="AO24" s="67">
        <f t="shared" si="2"/>
        <v>0.553675754186335</v>
      </c>
      <c r="AP24" s="88">
        <f t="shared" si="33"/>
        <v>0</v>
      </c>
      <c r="AQ24" s="88">
        <f t="shared" si="34"/>
        <v>0</v>
      </c>
      <c r="AR24" s="88">
        <f t="shared" si="35"/>
        <v>0</v>
      </c>
      <c r="AS24" s="88">
        <f t="shared" si="36"/>
        <v>0</v>
      </c>
      <c r="AT24" s="88">
        <f t="shared" si="37"/>
        <v>0</v>
      </c>
      <c r="AU24" s="87">
        <f t="shared" si="38"/>
        <v>0</v>
      </c>
      <c r="AV24" s="87">
        <f t="shared" si="39"/>
        <v>0</v>
      </c>
      <c r="AW24" s="87">
        <f t="shared" si="40"/>
        <v>0</v>
      </c>
      <c r="AX24" s="87">
        <f t="shared" si="41"/>
        <v>0</v>
      </c>
      <c r="AY24" s="67">
        <f t="shared" si="3"/>
        <v>0.2584190028138687</v>
      </c>
      <c r="AZ24" s="88">
        <f t="shared" si="42"/>
        <v>0</v>
      </c>
      <c r="BA24" s="88">
        <f t="shared" si="43"/>
        <v>0</v>
      </c>
      <c r="BB24" s="88">
        <f t="shared" si="44"/>
        <v>0</v>
      </c>
      <c r="BC24" s="88">
        <f t="shared" si="45"/>
        <v>0</v>
      </c>
      <c r="BD24" s="88">
        <f t="shared" si="46"/>
        <v>0</v>
      </c>
      <c r="BE24" s="87">
        <f t="shared" si="47"/>
        <v>0</v>
      </c>
      <c r="BF24" s="87">
        <f t="shared" si="48"/>
        <v>0</v>
      </c>
      <c r="BG24" s="87">
        <f t="shared" si="49"/>
        <v>0</v>
      </c>
      <c r="BH24" s="73">
        <f t="shared" si="50"/>
        <v>0</v>
      </c>
      <c r="BI24" s="88">
        <f t="shared" si="13"/>
        <v>100000</v>
      </c>
      <c r="BJ24" s="95">
        <f t="shared" si="51"/>
        <v>55367.575418633496</v>
      </c>
      <c r="BK24" s="96">
        <f t="shared" si="52"/>
        <v>25841.900281386872</v>
      </c>
      <c r="BL24" s="88">
        <f>5000</f>
        <v>5000</v>
      </c>
      <c r="BM24" s="97">
        <f t="shared" si="16"/>
        <v>2768.378770931675</v>
      </c>
      <c r="BN24" s="96">
        <f t="shared" si="17"/>
        <v>1292.0950140693435</v>
      </c>
    </row>
    <row r="25" spans="1:66" s="224" customFormat="1" ht="15">
      <c r="A25" s="71">
        <v>2036</v>
      </c>
      <c r="B25" s="15">
        <v>21</v>
      </c>
      <c r="C25" s="220"/>
      <c r="D25" s="222">
        <f t="shared" si="4"/>
        <v>0</v>
      </c>
      <c r="E25" s="47">
        <f t="shared" si="0"/>
        <v>0</v>
      </c>
      <c r="F25" s="48">
        <f t="shared" si="1"/>
        <v>0</v>
      </c>
      <c r="G25" s="120">
        <f>'VMT Multipliers'!W$21</f>
        <v>0.14312195121951218</v>
      </c>
      <c r="H25" s="120">
        <f>'VMT Multipliers'!X$21</f>
        <v>0.25066787456445994</v>
      </c>
      <c r="I25" s="120">
        <f>'VMT Multipliers'!Y$21</f>
        <v>0.015675261324041814</v>
      </c>
      <c r="J25" s="120">
        <f>'VMT Multipliers'!Z$21</f>
        <v>0.061201672473867604</v>
      </c>
      <c r="K25" s="120">
        <f>'VMT Multipliers'!AA$21</f>
        <v>0.03748432055749129</v>
      </c>
      <c r="L25" s="118">
        <f>'VMT Multipliers'!W$20</f>
        <v>0.0013630662020905925</v>
      </c>
      <c r="M25" s="118">
        <f>'VMT Multipliers'!X$20</f>
        <v>0.10495609756097561</v>
      </c>
      <c r="N25" s="118">
        <f>'VMT Multipliers'!Y$20</f>
        <v>0.01622048780487805</v>
      </c>
      <c r="O25" s="118">
        <f>'VMT Multipliers'!Z$20</f>
        <v>0.01812878048780488</v>
      </c>
      <c r="P25" s="118">
        <f>'VMT Multipliers'!AA$20</f>
        <v>0.0012267595818815332</v>
      </c>
      <c r="Q25" s="91">
        <f t="shared" si="18"/>
        <v>0</v>
      </c>
      <c r="R25" s="27">
        <f t="shared" si="5"/>
        <v>0</v>
      </c>
      <c r="S25" s="28">
        <f t="shared" si="19"/>
        <v>0</v>
      </c>
      <c r="T25" s="91">
        <f t="shared" si="20"/>
        <v>0</v>
      </c>
      <c r="U25" s="27">
        <f t="shared" si="21"/>
        <v>0</v>
      </c>
      <c r="V25" s="28">
        <f t="shared" si="22"/>
        <v>0</v>
      </c>
      <c r="W25" s="91">
        <f t="shared" si="23"/>
        <v>0</v>
      </c>
      <c r="X25" s="27">
        <f t="shared" si="24"/>
        <v>0</v>
      </c>
      <c r="Y25" s="28">
        <f t="shared" si="25"/>
        <v>0</v>
      </c>
      <c r="Z25" s="91">
        <f t="shared" si="26"/>
        <v>0</v>
      </c>
      <c r="AA25" s="27">
        <f t="shared" si="27"/>
        <v>0</v>
      </c>
      <c r="AB25" s="28">
        <f t="shared" si="28"/>
        <v>0</v>
      </c>
      <c r="AC25" s="91">
        <f t="shared" si="29"/>
        <v>0</v>
      </c>
      <c r="AD25" s="27">
        <f t="shared" si="30"/>
        <v>0</v>
      </c>
      <c r="AE25" s="28">
        <f t="shared" si="31"/>
        <v>0</v>
      </c>
      <c r="AF25" s="20">
        <f t="shared" si="6"/>
        <v>0</v>
      </c>
      <c r="AG25" s="20">
        <f t="shared" si="7"/>
        <v>0</v>
      </c>
      <c r="AH25" s="29">
        <f t="shared" si="8"/>
        <v>0</v>
      </c>
      <c r="AI25" s="29">
        <f t="shared" si="9"/>
        <v>0</v>
      </c>
      <c r="AJ25" s="29">
        <f t="shared" si="10"/>
        <v>0</v>
      </c>
      <c r="AK25" s="33">
        <f t="shared" si="11"/>
        <v>0</v>
      </c>
      <c r="AL25" s="32">
        <f t="shared" si="12"/>
        <v>0</v>
      </c>
      <c r="AM25" s="68">
        <v>38.52</v>
      </c>
      <c r="AN25" s="29">
        <f t="shared" si="32"/>
        <v>0</v>
      </c>
      <c r="AO25" s="67">
        <f t="shared" si="2"/>
        <v>0.5375492759090631</v>
      </c>
      <c r="AP25" s="88">
        <f t="shared" si="33"/>
        <v>0</v>
      </c>
      <c r="AQ25" s="88">
        <f t="shared" si="34"/>
        <v>0</v>
      </c>
      <c r="AR25" s="88">
        <f t="shared" si="35"/>
        <v>0</v>
      </c>
      <c r="AS25" s="88">
        <f t="shared" si="36"/>
        <v>0</v>
      </c>
      <c r="AT25" s="88">
        <f t="shared" si="37"/>
        <v>0</v>
      </c>
      <c r="AU25" s="87">
        <f t="shared" si="38"/>
        <v>0</v>
      </c>
      <c r="AV25" s="87">
        <f t="shared" si="39"/>
        <v>0</v>
      </c>
      <c r="AW25" s="87">
        <f t="shared" si="40"/>
        <v>0</v>
      </c>
      <c r="AX25" s="87">
        <f t="shared" si="41"/>
        <v>0</v>
      </c>
      <c r="AY25" s="67">
        <f t="shared" si="3"/>
        <v>0.24151308674193336</v>
      </c>
      <c r="AZ25" s="88">
        <f t="shared" si="42"/>
        <v>0</v>
      </c>
      <c r="BA25" s="88">
        <f t="shared" si="43"/>
        <v>0</v>
      </c>
      <c r="BB25" s="88">
        <f t="shared" si="44"/>
        <v>0</v>
      </c>
      <c r="BC25" s="88">
        <f t="shared" si="45"/>
        <v>0</v>
      </c>
      <c r="BD25" s="88">
        <f t="shared" si="46"/>
        <v>0</v>
      </c>
      <c r="BE25" s="87">
        <f t="shared" si="47"/>
        <v>0</v>
      </c>
      <c r="BF25" s="87">
        <f t="shared" si="48"/>
        <v>0</v>
      </c>
      <c r="BG25" s="87">
        <f t="shared" si="49"/>
        <v>0</v>
      </c>
      <c r="BH25" s="73">
        <f t="shared" si="50"/>
        <v>0</v>
      </c>
      <c r="BI25" s="88">
        <f t="shared" si="13"/>
        <v>100000</v>
      </c>
      <c r="BJ25" s="95">
        <f t="shared" si="51"/>
        <v>53754.92759090631</v>
      </c>
      <c r="BK25" s="96">
        <f t="shared" si="52"/>
        <v>24151.308674193337</v>
      </c>
      <c r="BL25" s="88">
        <f>5000</f>
        <v>5000</v>
      </c>
      <c r="BM25" s="97">
        <f t="shared" si="16"/>
        <v>2687.7463795453154</v>
      </c>
      <c r="BN25" s="96">
        <f t="shared" si="17"/>
        <v>1207.5654337096669</v>
      </c>
    </row>
    <row r="26" spans="1:66" s="224" customFormat="1" ht="15">
      <c r="A26" s="72">
        <v>2037</v>
      </c>
      <c r="B26" s="222">
        <v>22</v>
      </c>
      <c r="C26" s="220"/>
      <c r="D26" s="222">
        <f t="shared" si="4"/>
        <v>0</v>
      </c>
      <c r="E26" s="47">
        <f t="shared" si="0"/>
        <v>0</v>
      </c>
      <c r="F26" s="48">
        <f t="shared" si="1"/>
        <v>0</v>
      </c>
      <c r="G26" s="120">
        <f>'VMT Multipliers'!W$21</f>
        <v>0.14312195121951218</v>
      </c>
      <c r="H26" s="120">
        <f>'VMT Multipliers'!X$21</f>
        <v>0.25066787456445994</v>
      </c>
      <c r="I26" s="120">
        <f>'VMT Multipliers'!Y$21</f>
        <v>0.015675261324041814</v>
      </c>
      <c r="J26" s="120">
        <f>'VMT Multipliers'!Z$21</f>
        <v>0.061201672473867604</v>
      </c>
      <c r="K26" s="120">
        <f>'VMT Multipliers'!AA$21</f>
        <v>0.03748432055749129</v>
      </c>
      <c r="L26" s="118">
        <f>'VMT Multipliers'!W$20</f>
        <v>0.0013630662020905925</v>
      </c>
      <c r="M26" s="118">
        <f>'VMT Multipliers'!X$20</f>
        <v>0.10495609756097561</v>
      </c>
      <c r="N26" s="118">
        <f>'VMT Multipliers'!Y$20</f>
        <v>0.01622048780487805</v>
      </c>
      <c r="O26" s="118">
        <f>'VMT Multipliers'!Z$20</f>
        <v>0.01812878048780488</v>
      </c>
      <c r="P26" s="118">
        <f>'VMT Multipliers'!AA$20</f>
        <v>0.0012267595818815332</v>
      </c>
      <c r="Q26" s="91">
        <f t="shared" si="18"/>
        <v>0</v>
      </c>
      <c r="R26" s="27">
        <f t="shared" si="5"/>
        <v>0</v>
      </c>
      <c r="S26" s="28">
        <f t="shared" si="19"/>
        <v>0</v>
      </c>
      <c r="T26" s="91">
        <f t="shared" si="20"/>
        <v>0</v>
      </c>
      <c r="U26" s="27">
        <f t="shared" si="21"/>
        <v>0</v>
      </c>
      <c r="V26" s="28">
        <f t="shared" si="22"/>
        <v>0</v>
      </c>
      <c r="W26" s="91">
        <f t="shared" si="23"/>
        <v>0</v>
      </c>
      <c r="X26" s="27">
        <f t="shared" si="24"/>
        <v>0</v>
      </c>
      <c r="Y26" s="28">
        <f t="shared" si="25"/>
        <v>0</v>
      </c>
      <c r="Z26" s="91">
        <f t="shared" si="26"/>
        <v>0</v>
      </c>
      <c r="AA26" s="27">
        <f t="shared" si="27"/>
        <v>0</v>
      </c>
      <c r="AB26" s="28">
        <f t="shared" si="28"/>
        <v>0</v>
      </c>
      <c r="AC26" s="91">
        <f t="shared" si="29"/>
        <v>0</v>
      </c>
      <c r="AD26" s="27">
        <f t="shared" si="30"/>
        <v>0</v>
      </c>
      <c r="AE26" s="28">
        <f t="shared" si="31"/>
        <v>0</v>
      </c>
      <c r="AF26" s="20">
        <f t="shared" si="6"/>
        <v>0</v>
      </c>
      <c r="AG26" s="20">
        <f t="shared" si="7"/>
        <v>0</v>
      </c>
      <c r="AH26" s="29">
        <f t="shared" si="8"/>
        <v>0</v>
      </c>
      <c r="AI26" s="29">
        <f t="shared" si="9"/>
        <v>0</v>
      </c>
      <c r="AJ26" s="29">
        <f t="shared" si="10"/>
        <v>0</v>
      </c>
      <c r="AK26" s="33">
        <f t="shared" si="11"/>
        <v>0</v>
      </c>
      <c r="AL26" s="32">
        <f t="shared" si="12"/>
        <v>0</v>
      </c>
      <c r="AM26" s="68">
        <v>39.09</v>
      </c>
      <c r="AN26" s="29">
        <f t="shared" si="32"/>
        <v>0</v>
      </c>
      <c r="AO26" s="67">
        <f t="shared" si="2"/>
        <v>0.5218925008825855</v>
      </c>
      <c r="AP26" s="88">
        <f t="shared" si="33"/>
        <v>0</v>
      </c>
      <c r="AQ26" s="88">
        <f t="shared" si="34"/>
        <v>0</v>
      </c>
      <c r="AR26" s="88">
        <f t="shared" si="35"/>
        <v>0</v>
      </c>
      <c r="AS26" s="88">
        <f t="shared" si="36"/>
        <v>0</v>
      </c>
      <c r="AT26" s="88">
        <f t="shared" si="37"/>
        <v>0</v>
      </c>
      <c r="AU26" s="87">
        <f t="shared" si="38"/>
        <v>0</v>
      </c>
      <c r="AV26" s="87">
        <f t="shared" si="39"/>
        <v>0</v>
      </c>
      <c r="AW26" s="87">
        <f t="shared" si="40"/>
        <v>0</v>
      </c>
      <c r="AX26" s="87">
        <f t="shared" si="41"/>
        <v>0</v>
      </c>
      <c r="AY26" s="67">
        <f t="shared" si="3"/>
        <v>0.22571316517937698</v>
      </c>
      <c r="AZ26" s="88">
        <f t="shared" si="42"/>
        <v>0</v>
      </c>
      <c r="BA26" s="88">
        <f t="shared" si="43"/>
        <v>0</v>
      </c>
      <c r="BB26" s="88">
        <f t="shared" si="44"/>
        <v>0</v>
      </c>
      <c r="BC26" s="88">
        <f t="shared" si="45"/>
        <v>0</v>
      </c>
      <c r="BD26" s="88">
        <f t="shared" si="46"/>
        <v>0</v>
      </c>
      <c r="BE26" s="87">
        <f t="shared" si="47"/>
        <v>0</v>
      </c>
      <c r="BF26" s="87">
        <f t="shared" si="48"/>
        <v>0</v>
      </c>
      <c r="BG26" s="87">
        <f t="shared" si="49"/>
        <v>0</v>
      </c>
      <c r="BH26" s="73">
        <f t="shared" si="50"/>
        <v>0</v>
      </c>
      <c r="BI26" s="88">
        <f t="shared" si="13"/>
        <v>100000</v>
      </c>
      <c r="BJ26" s="95">
        <f t="shared" si="51"/>
        <v>52189.25008825855</v>
      </c>
      <c r="BK26" s="96">
        <f t="shared" si="52"/>
        <v>22571.3165179377</v>
      </c>
      <c r="BL26" s="88">
        <f>5000</f>
        <v>5000</v>
      </c>
      <c r="BM26" s="97">
        <f t="shared" si="16"/>
        <v>2609.4625044129275</v>
      </c>
      <c r="BN26" s="96">
        <f t="shared" si="17"/>
        <v>1128.565825896885</v>
      </c>
    </row>
    <row r="27" spans="1:66" s="224" customFormat="1" ht="15">
      <c r="A27" s="71">
        <v>2038</v>
      </c>
      <c r="B27" s="15">
        <v>23</v>
      </c>
      <c r="C27" s="220"/>
      <c r="D27" s="222">
        <f t="shared" si="4"/>
        <v>0</v>
      </c>
      <c r="E27" s="47">
        <f t="shared" si="0"/>
        <v>0</v>
      </c>
      <c r="F27" s="48">
        <f t="shared" si="1"/>
        <v>0</v>
      </c>
      <c r="G27" s="120">
        <f>'VMT Multipliers'!W$21</f>
        <v>0.14312195121951218</v>
      </c>
      <c r="H27" s="120">
        <f>'VMT Multipliers'!X$21</f>
        <v>0.25066787456445994</v>
      </c>
      <c r="I27" s="120">
        <f>'VMT Multipliers'!Y$21</f>
        <v>0.015675261324041814</v>
      </c>
      <c r="J27" s="120">
        <f>'VMT Multipliers'!Z$21</f>
        <v>0.061201672473867604</v>
      </c>
      <c r="K27" s="120">
        <f>'VMT Multipliers'!AA$21</f>
        <v>0.03748432055749129</v>
      </c>
      <c r="L27" s="118">
        <f>'VMT Multipliers'!W$20</f>
        <v>0.0013630662020905925</v>
      </c>
      <c r="M27" s="118">
        <f>'VMT Multipliers'!X$20</f>
        <v>0.10495609756097561</v>
      </c>
      <c r="N27" s="118">
        <f>'VMT Multipliers'!Y$20</f>
        <v>0.01622048780487805</v>
      </c>
      <c r="O27" s="118">
        <f>'VMT Multipliers'!Z$20</f>
        <v>0.01812878048780488</v>
      </c>
      <c r="P27" s="118">
        <f>'VMT Multipliers'!AA$20</f>
        <v>0.0012267595818815332</v>
      </c>
      <c r="Q27" s="91">
        <f t="shared" si="18"/>
        <v>0</v>
      </c>
      <c r="R27" s="27">
        <f t="shared" si="5"/>
        <v>0</v>
      </c>
      <c r="S27" s="28">
        <f t="shared" si="19"/>
        <v>0</v>
      </c>
      <c r="T27" s="91">
        <f t="shared" si="20"/>
        <v>0</v>
      </c>
      <c r="U27" s="27">
        <f t="shared" si="21"/>
        <v>0</v>
      </c>
      <c r="V27" s="28">
        <f t="shared" si="22"/>
        <v>0</v>
      </c>
      <c r="W27" s="91">
        <f t="shared" si="23"/>
        <v>0</v>
      </c>
      <c r="X27" s="27">
        <f t="shared" si="24"/>
        <v>0</v>
      </c>
      <c r="Y27" s="28">
        <f t="shared" si="25"/>
        <v>0</v>
      </c>
      <c r="Z27" s="91">
        <f t="shared" si="26"/>
        <v>0</v>
      </c>
      <c r="AA27" s="27">
        <f t="shared" si="27"/>
        <v>0</v>
      </c>
      <c r="AB27" s="28">
        <f t="shared" si="28"/>
        <v>0</v>
      </c>
      <c r="AC27" s="91">
        <f t="shared" si="29"/>
        <v>0</v>
      </c>
      <c r="AD27" s="27">
        <f t="shared" si="30"/>
        <v>0</v>
      </c>
      <c r="AE27" s="28">
        <f t="shared" si="31"/>
        <v>0</v>
      </c>
      <c r="AF27" s="20">
        <f t="shared" si="6"/>
        <v>0</v>
      </c>
      <c r="AG27" s="20">
        <f t="shared" si="7"/>
        <v>0</v>
      </c>
      <c r="AH27" s="29">
        <f t="shared" si="8"/>
        <v>0</v>
      </c>
      <c r="AI27" s="29">
        <f t="shared" si="9"/>
        <v>0</v>
      </c>
      <c r="AJ27" s="29">
        <f t="shared" si="10"/>
        <v>0</v>
      </c>
      <c r="AK27" s="33">
        <f t="shared" si="11"/>
        <v>0</v>
      </c>
      <c r="AL27" s="32">
        <f t="shared" si="12"/>
        <v>0</v>
      </c>
      <c r="AM27" s="68">
        <v>39.66</v>
      </c>
      <c r="AN27" s="29">
        <f t="shared" si="32"/>
        <v>0</v>
      </c>
      <c r="AO27" s="67">
        <f t="shared" si="2"/>
        <v>0.5066917484296947</v>
      </c>
      <c r="AP27" s="88">
        <f t="shared" si="33"/>
        <v>0</v>
      </c>
      <c r="AQ27" s="88">
        <f t="shared" si="34"/>
        <v>0</v>
      </c>
      <c r="AR27" s="88">
        <f t="shared" si="35"/>
        <v>0</v>
      </c>
      <c r="AS27" s="88">
        <f t="shared" si="36"/>
        <v>0</v>
      </c>
      <c r="AT27" s="88">
        <f t="shared" si="37"/>
        <v>0</v>
      </c>
      <c r="AU27" s="87">
        <f t="shared" si="38"/>
        <v>0</v>
      </c>
      <c r="AV27" s="87">
        <f t="shared" si="39"/>
        <v>0</v>
      </c>
      <c r="AW27" s="87">
        <f t="shared" si="40"/>
        <v>0</v>
      </c>
      <c r="AX27" s="87">
        <f t="shared" si="41"/>
        <v>0</v>
      </c>
      <c r="AY27" s="67">
        <f t="shared" si="3"/>
        <v>0.2109468833452121</v>
      </c>
      <c r="AZ27" s="88">
        <f t="shared" si="42"/>
        <v>0</v>
      </c>
      <c r="BA27" s="88">
        <f t="shared" si="43"/>
        <v>0</v>
      </c>
      <c r="BB27" s="88">
        <f t="shared" si="44"/>
        <v>0</v>
      </c>
      <c r="BC27" s="88">
        <f t="shared" si="45"/>
        <v>0</v>
      </c>
      <c r="BD27" s="88">
        <f t="shared" si="46"/>
        <v>0</v>
      </c>
      <c r="BE27" s="87">
        <f t="shared" si="47"/>
        <v>0</v>
      </c>
      <c r="BF27" s="87">
        <f t="shared" si="48"/>
        <v>0</v>
      </c>
      <c r="BG27" s="87">
        <f t="shared" si="49"/>
        <v>0</v>
      </c>
      <c r="BH27" s="73">
        <f t="shared" si="50"/>
        <v>0</v>
      </c>
      <c r="BI27" s="88">
        <f t="shared" si="13"/>
        <v>100000</v>
      </c>
      <c r="BJ27" s="95">
        <f t="shared" si="51"/>
        <v>50669.17484296946</v>
      </c>
      <c r="BK27" s="96">
        <f t="shared" si="52"/>
        <v>21094.68833452121</v>
      </c>
      <c r="BL27" s="88">
        <f>5000</f>
        <v>5000</v>
      </c>
      <c r="BM27" s="97">
        <f t="shared" si="16"/>
        <v>2533.4587421484734</v>
      </c>
      <c r="BN27" s="96">
        <f t="shared" si="17"/>
        <v>1054.7344167260605</v>
      </c>
    </row>
    <row r="28" spans="1:66" s="224" customFormat="1" ht="15">
      <c r="A28" s="72">
        <v>2039</v>
      </c>
      <c r="B28" s="222">
        <v>24</v>
      </c>
      <c r="C28" s="220"/>
      <c r="D28" s="222">
        <f t="shared" si="4"/>
        <v>0</v>
      </c>
      <c r="E28" s="47">
        <f t="shared" si="0"/>
        <v>0</v>
      </c>
      <c r="F28" s="48">
        <f t="shared" si="1"/>
        <v>0</v>
      </c>
      <c r="G28" s="120">
        <f>'VMT Multipliers'!W$21</f>
        <v>0.14312195121951218</v>
      </c>
      <c r="H28" s="120">
        <f>'VMT Multipliers'!X$21</f>
        <v>0.25066787456445994</v>
      </c>
      <c r="I28" s="120">
        <f>'VMT Multipliers'!Y$21</f>
        <v>0.015675261324041814</v>
      </c>
      <c r="J28" s="120">
        <f>'VMT Multipliers'!Z$21</f>
        <v>0.061201672473867604</v>
      </c>
      <c r="K28" s="120">
        <f>'VMT Multipliers'!AA$21</f>
        <v>0.03748432055749129</v>
      </c>
      <c r="L28" s="118">
        <f>'VMT Multipliers'!W$20</f>
        <v>0.0013630662020905925</v>
      </c>
      <c r="M28" s="118">
        <f>'VMT Multipliers'!X$20</f>
        <v>0.10495609756097561</v>
      </c>
      <c r="N28" s="118">
        <f>'VMT Multipliers'!Y$20</f>
        <v>0.01622048780487805</v>
      </c>
      <c r="O28" s="118">
        <f>'VMT Multipliers'!Z$20</f>
        <v>0.01812878048780488</v>
      </c>
      <c r="P28" s="118">
        <f>'VMT Multipliers'!AA$20</f>
        <v>0.0012267595818815332</v>
      </c>
      <c r="Q28" s="91">
        <f t="shared" si="18"/>
        <v>0</v>
      </c>
      <c r="R28" s="27">
        <f t="shared" si="5"/>
        <v>0</v>
      </c>
      <c r="S28" s="28">
        <f t="shared" si="19"/>
        <v>0</v>
      </c>
      <c r="T28" s="91">
        <f t="shared" si="20"/>
        <v>0</v>
      </c>
      <c r="U28" s="27">
        <f t="shared" si="21"/>
        <v>0</v>
      </c>
      <c r="V28" s="28">
        <f t="shared" si="22"/>
        <v>0</v>
      </c>
      <c r="W28" s="91">
        <f t="shared" si="23"/>
        <v>0</v>
      </c>
      <c r="X28" s="27">
        <f t="shared" si="24"/>
        <v>0</v>
      </c>
      <c r="Y28" s="28">
        <f t="shared" si="25"/>
        <v>0</v>
      </c>
      <c r="Z28" s="91">
        <f t="shared" si="26"/>
        <v>0</v>
      </c>
      <c r="AA28" s="27">
        <f t="shared" si="27"/>
        <v>0</v>
      </c>
      <c r="AB28" s="28">
        <f t="shared" si="28"/>
        <v>0</v>
      </c>
      <c r="AC28" s="91">
        <f t="shared" si="29"/>
        <v>0</v>
      </c>
      <c r="AD28" s="27">
        <f t="shared" si="30"/>
        <v>0</v>
      </c>
      <c r="AE28" s="28">
        <f t="shared" si="31"/>
        <v>0</v>
      </c>
      <c r="AF28" s="20">
        <f t="shared" si="6"/>
        <v>0</v>
      </c>
      <c r="AG28" s="20">
        <f t="shared" si="7"/>
        <v>0</v>
      </c>
      <c r="AH28" s="29">
        <f t="shared" si="8"/>
        <v>0</v>
      </c>
      <c r="AI28" s="29">
        <f t="shared" si="9"/>
        <v>0</v>
      </c>
      <c r="AJ28" s="29">
        <f t="shared" si="10"/>
        <v>0</v>
      </c>
      <c r="AK28" s="33">
        <f t="shared" si="11"/>
        <v>0</v>
      </c>
      <c r="AL28" s="32">
        <f t="shared" si="12"/>
        <v>0</v>
      </c>
      <c r="AM28" s="68">
        <v>40.23</v>
      </c>
      <c r="AN28" s="29">
        <f t="shared" si="32"/>
        <v>0</v>
      </c>
      <c r="AO28" s="67">
        <f t="shared" si="2"/>
        <v>0.49193373633950943</v>
      </c>
      <c r="AP28" s="88">
        <f t="shared" si="33"/>
        <v>0</v>
      </c>
      <c r="AQ28" s="88">
        <f t="shared" si="34"/>
        <v>0</v>
      </c>
      <c r="AR28" s="88">
        <f t="shared" si="35"/>
        <v>0</v>
      </c>
      <c r="AS28" s="88">
        <f t="shared" si="36"/>
        <v>0</v>
      </c>
      <c r="AT28" s="88">
        <f t="shared" si="37"/>
        <v>0</v>
      </c>
      <c r="AU28" s="87">
        <f t="shared" si="38"/>
        <v>0</v>
      </c>
      <c r="AV28" s="87">
        <f t="shared" si="39"/>
        <v>0</v>
      </c>
      <c r="AW28" s="87">
        <f t="shared" si="40"/>
        <v>0</v>
      </c>
      <c r="AX28" s="87">
        <f t="shared" si="41"/>
        <v>0</v>
      </c>
      <c r="AY28" s="67">
        <f t="shared" si="3"/>
        <v>0.19714661994879637</v>
      </c>
      <c r="AZ28" s="88">
        <f t="shared" si="42"/>
        <v>0</v>
      </c>
      <c r="BA28" s="88">
        <f t="shared" si="43"/>
        <v>0</v>
      </c>
      <c r="BB28" s="88">
        <f t="shared" si="44"/>
        <v>0</v>
      </c>
      <c r="BC28" s="88">
        <f t="shared" si="45"/>
        <v>0</v>
      </c>
      <c r="BD28" s="88">
        <f t="shared" si="46"/>
        <v>0</v>
      </c>
      <c r="BE28" s="87">
        <f t="shared" si="47"/>
        <v>0</v>
      </c>
      <c r="BF28" s="87">
        <f t="shared" si="48"/>
        <v>0</v>
      </c>
      <c r="BG28" s="87">
        <f t="shared" si="49"/>
        <v>0</v>
      </c>
      <c r="BH28" s="73">
        <f t="shared" si="50"/>
        <v>0</v>
      </c>
      <c r="BI28" s="88">
        <f t="shared" si="13"/>
        <v>100000</v>
      </c>
      <c r="BJ28" s="95">
        <f t="shared" si="51"/>
        <v>49193.37363395094</v>
      </c>
      <c r="BK28" s="96">
        <f t="shared" si="52"/>
        <v>19714.661994879636</v>
      </c>
      <c r="BL28" s="88">
        <f>5000</f>
        <v>5000</v>
      </c>
      <c r="BM28" s="97">
        <f t="shared" si="16"/>
        <v>2459.668681697547</v>
      </c>
      <c r="BN28" s="96">
        <f t="shared" si="17"/>
        <v>985.7330997439818</v>
      </c>
    </row>
    <row r="29" spans="1:66" s="224" customFormat="1" ht="15">
      <c r="A29" s="71">
        <v>2040</v>
      </c>
      <c r="B29" s="15">
        <v>25</v>
      </c>
      <c r="C29" s="220"/>
      <c r="D29" s="222">
        <f t="shared" si="4"/>
        <v>0</v>
      </c>
      <c r="E29" s="47">
        <f t="shared" si="0"/>
        <v>0</v>
      </c>
      <c r="F29" s="48">
        <f t="shared" si="1"/>
        <v>0</v>
      </c>
      <c r="G29" s="120">
        <f>'VMT Multipliers'!W$21</f>
        <v>0.14312195121951218</v>
      </c>
      <c r="H29" s="120">
        <f>'VMT Multipliers'!X$21</f>
        <v>0.25066787456445994</v>
      </c>
      <c r="I29" s="120">
        <f>'VMT Multipliers'!Y$21</f>
        <v>0.015675261324041814</v>
      </c>
      <c r="J29" s="120">
        <f>'VMT Multipliers'!Z$21</f>
        <v>0.061201672473867604</v>
      </c>
      <c r="K29" s="120">
        <f>'VMT Multipliers'!AA$21</f>
        <v>0.03748432055749129</v>
      </c>
      <c r="L29" s="118">
        <f>'VMT Multipliers'!W$20</f>
        <v>0.0013630662020905925</v>
      </c>
      <c r="M29" s="118">
        <f>'VMT Multipliers'!X$20</f>
        <v>0.10495609756097561</v>
      </c>
      <c r="N29" s="118">
        <f>'VMT Multipliers'!Y$20</f>
        <v>0.01622048780487805</v>
      </c>
      <c r="O29" s="118">
        <f>'VMT Multipliers'!Z$20</f>
        <v>0.01812878048780488</v>
      </c>
      <c r="P29" s="118">
        <f>'VMT Multipliers'!AA$20</f>
        <v>0.0012267595818815332</v>
      </c>
      <c r="Q29" s="91">
        <f t="shared" si="18"/>
        <v>0</v>
      </c>
      <c r="R29" s="27">
        <f t="shared" si="5"/>
        <v>0</v>
      </c>
      <c r="S29" s="28">
        <f t="shared" si="19"/>
        <v>0</v>
      </c>
      <c r="T29" s="91">
        <f t="shared" si="20"/>
        <v>0</v>
      </c>
      <c r="U29" s="27">
        <f t="shared" si="21"/>
        <v>0</v>
      </c>
      <c r="V29" s="28">
        <f t="shared" si="22"/>
        <v>0</v>
      </c>
      <c r="W29" s="91">
        <f t="shared" si="23"/>
        <v>0</v>
      </c>
      <c r="X29" s="27">
        <f t="shared" si="24"/>
        <v>0</v>
      </c>
      <c r="Y29" s="28">
        <f t="shared" si="25"/>
        <v>0</v>
      </c>
      <c r="Z29" s="91">
        <f t="shared" si="26"/>
        <v>0</v>
      </c>
      <c r="AA29" s="27">
        <f t="shared" si="27"/>
        <v>0</v>
      </c>
      <c r="AB29" s="28">
        <f t="shared" si="28"/>
        <v>0</v>
      </c>
      <c r="AC29" s="91">
        <f t="shared" si="29"/>
        <v>0</v>
      </c>
      <c r="AD29" s="27">
        <f t="shared" si="30"/>
        <v>0</v>
      </c>
      <c r="AE29" s="28">
        <f t="shared" si="31"/>
        <v>0</v>
      </c>
      <c r="AF29" s="20">
        <f t="shared" si="6"/>
        <v>0</v>
      </c>
      <c r="AG29" s="20">
        <f t="shared" si="7"/>
        <v>0</v>
      </c>
      <c r="AH29" s="29">
        <f t="shared" si="8"/>
        <v>0</v>
      </c>
      <c r="AI29" s="29">
        <f t="shared" si="9"/>
        <v>0</v>
      </c>
      <c r="AJ29" s="29">
        <f t="shared" si="10"/>
        <v>0</v>
      </c>
      <c r="AK29" s="33">
        <f t="shared" si="11"/>
        <v>0</v>
      </c>
      <c r="AL29" s="32">
        <f t="shared" si="12"/>
        <v>0</v>
      </c>
      <c r="AM29" s="68">
        <v>40.8</v>
      </c>
      <c r="AN29" s="29">
        <f t="shared" si="32"/>
        <v>0</v>
      </c>
      <c r="AO29" s="67">
        <f t="shared" si="2"/>
        <v>0.47760556926165965</v>
      </c>
      <c r="AP29" s="88">
        <f t="shared" si="33"/>
        <v>0</v>
      </c>
      <c r="AQ29" s="88">
        <f t="shared" si="34"/>
        <v>0</v>
      </c>
      <c r="AR29" s="88">
        <f t="shared" si="35"/>
        <v>0</v>
      </c>
      <c r="AS29" s="88">
        <f t="shared" si="36"/>
        <v>0</v>
      </c>
      <c r="AT29" s="88">
        <f t="shared" si="37"/>
        <v>0</v>
      </c>
      <c r="AU29" s="87">
        <f t="shared" si="38"/>
        <v>0</v>
      </c>
      <c r="AV29" s="87">
        <f t="shared" si="39"/>
        <v>0</v>
      </c>
      <c r="AW29" s="87">
        <f t="shared" si="40"/>
        <v>0</v>
      </c>
      <c r="AX29" s="87">
        <f t="shared" si="41"/>
        <v>0</v>
      </c>
      <c r="AY29" s="67">
        <f t="shared" si="3"/>
        <v>0.18424917752223957</v>
      </c>
      <c r="AZ29" s="88">
        <f t="shared" si="42"/>
        <v>0</v>
      </c>
      <c r="BA29" s="88">
        <f t="shared" si="43"/>
        <v>0</v>
      </c>
      <c r="BB29" s="88">
        <f t="shared" si="44"/>
        <v>0</v>
      </c>
      <c r="BC29" s="88">
        <f t="shared" si="45"/>
        <v>0</v>
      </c>
      <c r="BD29" s="88">
        <f t="shared" si="46"/>
        <v>0</v>
      </c>
      <c r="BE29" s="87">
        <f t="shared" si="47"/>
        <v>0</v>
      </c>
      <c r="BF29" s="87">
        <f t="shared" si="48"/>
        <v>0</v>
      </c>
      <c r="BG29" s="87">
        <f t="shared" si="49"/>
        <v>0</v>
      </c>
      <c r="BH29" s="73">
        <f t="shared" si="50"/>
        <v>0</v>
      </c>
      <c r="BI29" s="88">
        <f t="shared" si="13"/>
        <v>100000</v>
      </c>
      <c r="BJ29" s="95">
        <f t="shared" si="51"/>
        <v>47760.55692616596</v>
      </c>
      <c r="BK29" s="96">
        <f t="shared" si="52"/>
        <v>18424.91775222396</v>
      </c>
      <c r="BL29" s="88">
        <f>5000</f>
        <v>5000</v>
      </c>
      <c r="BM29" s="97">
        <f t="shared" si="16"/>
        <v>2388.027846308298</v>
      </c>
      <c r="BN29" s="96">
        <f t="shared" si="17"/>
        <v>921.2458876111979</v>
      </c>
    </row>
    <row r="30" spans="1:66" s="224" customFormat="1" ht="15">
      <c r="A30" s="72">
        <v>2041</v>
      </c>
      <c r="B30" s="222">
        <v>26</v>
      </c>
      <c r="C30" s="220"/>
      <c r="D30" s="222">
        <f t="shared" si="4"/>
        <v>0</v>
      </c>
      <c r="E30" s="47">
        <f t="shared" si="0"/>
        <v>0</v>
      </c>
      <c r="F30" s="48">
        <f t="shared" si="1"/>
        <v>0</v>
      </c>
      <c r="G30" s="120">
        <f>'VMT Multipliers'!W$21</f>
        <v>0.14312195121951218</v>
      </c>
      <c r="H30" s="120">
        <f>'VMT Multipliers'!X$21</f>
        <v>0.25066787456445994</v>
      </c>
      <c r="I30" s="120">
        <f>'VMT Multipliers'!Y$21</f>
        <v>0.015675261324041814</v>
      </c>
      <c r="J30" s="120">
        <f>'VMT Multipliers'!Z$21</f>
        <v>0.061201672473867604</v>
      </c>
      <c r="K30" s="120">
        <f>'VMT Multipliers'!AA$21</f>
        <v>0.03748432055749129</v>
      </c>
      <c r="L30" s="118">
        <f>'VMT Multipliers'!W$20</f>
        <v>0.0013630662020905925</v>
      </c>
      <c r="M30" s="118">
        <f>'VMT Multipliers'!X$20</f>
        <v>0.10495609756097561</v>
      </c>
      <c r="N30" s="118">
        <f>'VMT Multipliers'!Y$20</f>
        <v>0.01622048780487805</v>
      </c>
      <c r="O30" s="118">
        <f>'VMT Multipliers'!Z$20</f>
        <v>0.01812878048780488</v>
      </c>
      <c r="P30" s="118">
        <f>'VMT Multipliers'!AA$20</f>
        <v>0.0012267595818815332</v>
      </c>
      <c r="Q30" s="91">
        <f t="shared" si="18"/>
        <v>0</v>
      </c>
      <c r="R30" s="27">
        <f t="shared" si="5"/>
        <v>0</v>
      </c>
      <c r="S30" s="28">
        <f t="shared" si="19"/>
        <v>0</v>
      </c>
      <c r="T30" s="91">
        <f t="shared" si="20"/>
        <v>0</v>
      </c>
      <c r="U30" s="27">
        <f t="shared" si="21"/>
        <v>0</v>
      </c>
      <c r="V30" s="28">
        <f t="shared" si="22"/>
        <v>0</v>
      </c>
      <c r="W30" s="91">
        <f t="shared" si="23"/>
        <v>0</v>
      </c>
      <c r="X30" s="27">
        <f t="shared" si="24"/>
        <v>0</v>
      </c>
      <c r="Y30" s="28">
        <f t="shared" si="25"/>
        <v>0</v>
      </c>
      <c r="Z30" s="91">
        <f t="shared" si="26"/>
        <v>0</v>
      </c>
      <c r="AA30" s="27">
        <f t="shared" si="27"/>
        <v>0</v>
      </c>
      <c r="AB30" s="28">
        <f t="shared" si="28"/>
        <v>0</v>
      </c>
      <c r="AC30" s="91">
        <f t="shared" si="29"/>
        <v>0</v>
      </c>
      <c r="AD30" s="27">
        <f t="shared" si="30"/>
        <v>0</v>
      </c>
      <c r="AE30" s="28">
        <f t="shared" si="31"/>
        <v>0</v>
      </c>
      <c r="AF30" s="20">
        <f t="shared" si="6"/>
        <v>0</v>
      </c>
      <c r="AG30" s="20">
        <f t="shared" si="7"/>
        <v>0</v>
      </c>
      <c r="AH30" s="29">
        <f t="shared" si="8"/>
        <v>0</v>
      </c>
      <c r="AI30" s="29">
        <f t="shared" si="9"/>
        <v>0</v>
      </c>
      <c r="AJ30" s="29">
        <f t="shared" si="10"/>
        <v>0</v>
      </c>
      <c r="AK30" s="33">
        <f t="shared" si="11"/>
        <v>0</v>
      </c>
      <c r="AL30" s="32">
        <f t="shared" si="12"/>
        <v>0</v>
      </c>
      <c r="AM30" s="68">
        <v>41.37</v>
      </c>
      <c r="AN30" s="29">
        <f t="shared" si="32"/>
        <v>0</v>
      </c>
      <c r="AO30" s="67">
        <f t="shared" si="2"/>
        <v>0.4636947274385045</v>
      </c>
      <c r="AP30" s="88">
        <f t="shared" si="33"/>
        <v>0</v>
      </c>
      <c r="AQ30" s="88">
        <f t="shared" si="34"/>
        <v>0</v>
      </c>
      <c r="AR30" s="88">
        <f t="shared" si="35"/>
        <v>0</v>
      </c>
      <c r="AS30" s="88">
        <f t="shared" si="36"/>
        <v>0</v>
      </c>
      <c r="AT30" s="88">
        <f t="shared" si="37"/>
        <v>0</v>
      </c>
      <c r="AU30" s="87">
        <f t="shared" si="38"/>
        <v>0</v>
      </c>
      <c r="AV30" s="87">
        <f t="shared" si="39"/>
        <v>0</v>
      </c>
      <c r="AW30" s="87">
        <f t="shared" si="40"/>
        <v>0</v>
      </c>
      <c r="AX30" s="87">
        <f t="shared" si="41"/>
        <v>0</v>
      </c>
      <c r="AY30" s="67">
        <f t="shared" si="3"/>
        <v>0.17219549301143888</v>
      </c>
      <c r="AZ30" s="88">
        <f t="shared" si="42"/>
        <v>0</v>
      </c>
      <c r="BA30" s="88">
        <f t="shared" si="43"/>
        <v>0</v>
      </c>
      <c r="BB30" s="88">
        <f t="shared" si="44"/>
        <v>0</v>
      </c>
      <c r="BC30" s="88">
        <f t="shared" si="45"/>
        <v>0</v>
      </c>
      <c r="BD30" s="88">
        <f t="shared" si="46"/>
        <v>0</v>
      </c>
      <c r="BE30" s="87">
        <f t="shared" si="47"/>
        <v>0</v>
      </c>
      <c r="BF30" s="87">
        <f t="shared" si="48"/>
        <v>0</v>
      </c>
      <c r="BG30" s="87">
        <f t="shared" si="49"/>
        <v>0</v>
      </c>
      <c r="BH30" s="73">
        <f t="shared" si="50"/>
        <v>0</v>
      </c>
      <c r="BI30" s="88">
        <f t="shared" si="13"/>
        <v>100000</v>
      </c>
      <c r="BJ30" s="95">
        <f t="shared" si="51"/>
        <v>46369.47274385045</v>
      </c>
      <c r="BK30" s="96">
        <f t="shared" si="52"/>
        <v>17219.54930114389</v>
      </c>
      <c r="BL30" s="88">
        <f>5000</f>
        <v>5000</v>
      </c>
      <c r="BM30" s="97">
        <f t="shared" si="16"/>
        <v>2318.4736371925223</v>
      </c>
      <c r="BN30" s="96">
        <f t="shared" si="17"/>
        <v>860.9774650571944</v>
      </c>
    </row>
    <row r="31" spans="1:66" s="224" customFormat="1" ht="15">
      <c r="A31" s="71">
        <v>2042</v>
      </c>
      <c r="B31" s="15">
        <v>27</v>
      </c>
      <c r="C31" s="220"/>
      <c r="D31" s="222">
        <f t="shared" si="4"/>
        <v>0</v>
      </c>
      <c r="E31" s="47">
        <f t="shared" si="0"/>
        <v>0</v>
      </c>
      <c r="F31" s="48">
        <f t="shared" si="1"/>
        <v>0</v>
      </c>
      <c r="G31" s="120">
        <f>'VMT Multipliers'!W$21</f>
        <v>0.14312195121951218</v>
      </c>
      <c r="H31" s="120">
        <f>'VMT Multipliers'!X$21</f>
        <v>0.25066787456445994</v>
      </c>
      <c r="I31" s="120">
        <f>'VMT Multipliers'!Y$21</f>
        <v>0.015675261324041814</v>
      </c>
      <c r="J31" s="120">
        <f>'VMT Multipliers'!Z$21</f>
        <v>0.061201672473867604</v>
      </c>
      <c r="K31" s="120">
        <f>'VMT Multipliers'!AA$21</f>
        <v>0.03748432055749129</v>
      </c>
      <c r="L31" s="118">
        <f>'VMT Multipliers'!W$20</f>
        <v>0.0013630662020905925</v>
      </c>
      <c r="M31" s="118">
        <f>'VMT Multipliers'!X$20</f>
        <v>0.10495609756097561</v>
      </c>
      <c r="N31" s="118">
        <f>'VMT Multipliers'!Y$20</f>
        <v>0.01622048780487805</v>
      </c>
      <c r="O31" s="118">
        <f>'VMT Multipliers'!Z$20</f>
        <v>0.01812878048780488</v>
      </c>
      <c r="P31" s="118">
        <f>'VMT Multipliers'!AA$20</f>
        <v>0.0012267595818815332</v>
      </c>
      <c r="Q31" s="91">
        <f t="shared" si="18"/>
        <v>0</v>
      </c>
      <c r="R31" s="27">
        <f t="shared" si="5"/>
        <v>0</v>
      </c>
      <c r="S31" s="28">
        <f t="shared" si="19"/>
        <v>0</v>
      </c>
      <c r="T31" s="91">
        <f t="shared" si="20"/>
        <v>0</v>
      </c>
      <c r="U31" s="27">
        <f t="shared" si="21"/>
        <v>0</v>
      </c>
      <c r="V31" s="28">
        <f t="shared" si="22"/>
        <v>0</v>
      </c>
      <c r="W31" s="91">
        <f t="shared" si="23"/>
        <v>0</v>
      </c>
      <c r="X31" s="27">
        <f t="shared" si="24"/>
        <v>0</v>
      </c>
      <c r="Y31" s="28">
        <f t="shared" si="25"/>
        <v>0</v>
      </c>
      <c r="Z31" s="91">
        <f t="shared" si="26"/>
        <v>0</v>
      </c>
      <c r="AA31" s="27">
        <f t="shared" si="27"/>
        <v>0</v>
      </c>
      <c r="AB31" s="28">
        <f t="shared" si="28"/>
        <v>0</v>
      </c>
      <c r="AC31" s="91">
        <f t="shared" si="29"/>
        <v>0</v>
      </c>
      <c r="AD31" s="27">
        <f t="shared" si="30"/>
        <v>0</v>
      </c>
      <c r="AE31" s="28">
        <f t="shared" si="31"/>
        <v>0</v>
      </c>
      <c r="AF31" s="20">
        <f t="shared" si="6"/>
        <v>0</v>
      </c>
      <c r="AG31" s="20">
        <f t="shared" si="7"/>
        <v>0</v>
      </c>
      <c r="AH31" s="29">
        <f t="shared" si="8"/>
        <v>0</v>
      </c>
      <c r="AI31" s="29">
        <f t="shared" si="9"/>
        <v>0</v>
      </c>
      <c r="AJ31" s="29">
        <f t="shared" si="10"/>
        <v>0</v>
      </c>
      <c r="AK31" s="33">
        <f t="shared" si="11"/>
        <v>0</v>
      </c>
      <c r="AL31" s="32">
        <f t="shared" si="12"/>
        <v>0</v>
      </c>
      <c r="AM31" s="68">
        <v>41.94</v>
      </c>
      <c r="AN31" s="29">
        <f t="shared" si="32"/>
        <v>0</v>
      </c>
      <c r="AO31" s="67">
        <f t="shared" si="2"/>
        <v>0.45018905576553836</v>
      </c>
      <c r="AP31" s="88">
        <f t="shared" si="33"/>
        <v>0</v>
      </c>
      <c r="AQ31" s="88">
        <f t="shared" si="34"/>
        <v>0</v>
      </c>
      <c r="AR31" s="88">
        <f t="shared" si="35"/>
        <v>0</v>
      </c>
      <c r="AS31" s="88">
        <f t="shared" si="36"/>
        <v>0</v>
      </c>
      <c r="AT31" s="88">
        <f t="shared" si="37"/>
        <v>0</v>
      </c>
      <c r="AU31" s="87">
        <f t="shared" si="38"/>
        <v>0</v>
      </c>
      <c r="AV31" s="87">
        <f t="shared" si="39"/>
        <v>0</v>
      </c>
      <c r="AW31" s="87">
        <f t="shared" si="40"/>
        <v>0</v>
      </c>
      <c r="AX31" s="87">
        <f t="shared" si="41"/>
        <v>0</v>
      </c>
      <c r="AY31" s="67">
        <f t="shared" si="3"/>
        <v>0.16093036730041013</v>
      </c>
      <c r="AZ31" s="88">
        <f t="shared" si="42"/>
        <v>0</v>
      </c>
      <c r="BA31" s="88">
        <f t="shared" si="43"/>
        <v>0</v>
      </c>
      <c r="BB31" s="88">
        <f t="shared" si="44"/>
        <v>0</v>
      </c>
      <c r="BC31" s="88">
        <f t="shared" si="45"/>
        <v>0</v>
      </c>
      <c r="BD31" s="88">
        <f t="shared" si="46"/>
        <v>0</v>
      </c>
      <c r="BE31" s="87">
        <f t="shared" si="47"/>
        <v>0</v>
      </c>
      <c r="BF31" s="87">
        <f t="shared" si="48"/>
        <v>0</v>
      </c>
      <c r="BG31" s="87">
        <f t="shared" si="49"/>
        <v>0</v>
      </c>
      <c r="BH31" s="73">
        <f t="shared" si="50"/>
        <v>0</v>
      </c>
      <c r="BI31" s="88">
        <f t="shared" si="13"/>
        <v>100000</v>
      </c>
      <c r="BJ31" s="95">
        <f t="shared" si="51"/>
        <v>45018.905576553836</v>
      </c>
      <c r="BK31" s="96">
        <f t="shared" si="52"/>
        <v>16093.036730041013</v>
      </c>
      <c r="BL31" s="88">
        <f>5000</f>
        <v>5000</v>
      </c>
      <c r="BM31" s="97">
        <f t="shared" si="16"/>
        <v>2250.9452788276917</v>
      </c>
      <c r="BN31" s="96">
        <f t="shared" si="17"/>
        <v>804.6518365020506</v>
      </c>
    </row>
    <row r="32" spans="1:66" s="224" customFormat="1" ht="15">
      <c r="A32" s="72">
        <v>2043</v>
      </c>
      <c r="B32" s="222">
        <v>28</v>
      </c>
      <c r="C32" s="220"/>
      <c r="D32" s="222">
        <f t="shared" si="4"/>
        <v>0</v>
      </c>
      <c r="E32" s="47">
        <f t="shared" si="0"/>
        <v>0</v>
      </c>
      <c r="F32" s="48">
        <f t="shared" si="1"/>
        <v>0</v>
      </c>
      <c r="G32" s="120">
        <f>'VMT Multipliers'!W$21</f>
        <v>0.14312195121951218</v>
      </c>
      <c r="H32" s="120">
        <f>'VMT Multipliers'!X$21</f>
        <v>0.25066787456445994</v>
      </c>
      <c r="I32" s="120">
        <f>'VMT Multipliers'!Y$21</f>
        <v>0.015675261324041814</v>
      </c>
      <c r="J32" s="120">
        <f>'VMT Multipliers'!Z$21</f>
        <v>0.061201672473867604</v>
      </c>
      <c r="K32" s="120">
        <f>'VMT Multipliers'!AA$21</f>
        <v>0.03748432055749129</v>
      </c>
      <c r="L32" s="118">
        <f>'VMT Multipliers'!W$20</f>
        <v>0.0013630662020905925</v>
      </c>
      <c r="M32" s="118">
        <f>'VMT Multipliers'!X$20</f>
        <v>0.10495609756097561</v>
      </c>
      <c r="N32" s="118">
        <f>'VMT Multipliers'!Y$20</f>
        <v>0.01622048780487805</v>
      </c>
      <c r="O32" s="118">
        <f>'VMT Multipliers'!Z$20</f>
        <v>0.01812878048780488</v>
      </c>
      <c r="P32" s="118">
        <f>'VMT Multipliers'!AA$20</f>
        <v>0.0012267595818815332</v>
      </c>
      <c r="Q32" s="91">
        <f t="shared" si="18"/>
        <v>0</v>
      </c>
      <c r="R32" s="27">
        <f t="shared" si="5"/>
        <v>0</v>
      </c>
      <c r="S32" s="28">
        <f t="shared" si="19"/>
        <v>0</v>
      </c>
      <c r="T32" s="91">
        <f t="shared" si="20"/>
        <v>0</v>
      </c>
      <c r="U32" s="27">
        <f t="shared" si="21"/>
        <v>0</v>
      </c>
      <c r="V32" s="28">
        <f t="shared" si="22"/>
        <v>0</v>
      </c>
      <c r="W32" s="91">
        <f t="shared" si="23"/>
        <v>0</v>
      </c>
      <c r="X32" s="27">
        <f t="shared" si="24"/>
        <v>0</v>
      </c>
      <c r="Y32" s="28">
        <f t="shared" si="25"/>
        <v>0</v>
      </c>
      <c r="Z32" s="91">
        <f t="shared" si="26"/>
        <v>0</v>
      </c>
      <c r="AA32" s="27">
        <f t="shared" si="27"/>
        <v>0</v>
      </c>
      <c r="AB32" s="28">
        <f t="shared" si="28"/>
        <v>0</v>
      </c>
      <c r="AC32" s="91">
        <f t="shared" si="29"/>
        <v>0</v>
      </c>
      <c r="AD32" s="27">
        <f t="shared" si="30"/>
        <v>0</v>
      </c>
      <c r="AE32" s="28">
        <f t="shared" si="31"/>
        <v>0</v>
      </c>
      <c r="AF32" s="20">
        <f t="shared" si="6"/>
        <v>0</v>
      </c>
      <c r="AG32" s="20">
        <f t="shared" si="7"/>
        <v>0</v>
      </c>
      <c r="AH32" s="29">
        <f t="shared" si="8"/>
        <v>0</v>
      </c>
      <c r="AI32" s="29">
        <f t="shared" si="9"/>
        <v>0</v>
      </c>
      <c r="AJ32" s="29">
        <f t="shared" si="10"/>
        <v>0</v>
      </c>
      <c r="AK32" s="33">
        <f t="shared" si="11"/>
        <v>0</v>
      </c>
      <c r="AL32" s="32">
        <f t="shared" si="12"/>
        <v>0</v>
      </c>
      <c r="AM32" s="68">
        <v>42.51</v>
      </c>
      <c r="AN32" s="29">
        <f t="shared" si="32"/>
        <v>0</v>
      </c>
      <c r="AO32" s="67">
        <f t="shared" si="2"/>
        <v>0.4370767531704256</v>
      </c>
      <c r="AP32" s="88">
        <f t="shared" si="33"/>
        <v>0</v>
      </c>
      <c r="AQ32" s="88">
        <f t="shared" si="34"/>
        <v>0</v>
      </c>
      <c r="AR32" s="88">
        <f t="shared" si="35"/>
        <v>0</v>
      </c>
      <c r="AS32" s="88">
        <f t="shared" si="36"/>
        <v>0</v>
      </c>
      <c r="AT32" s="88">
        <f t="shared" si="37"/>
        <v>0</v>
      </c>
      <c r="AU32" s="87">
        <f t="shared" si="38"/>
        <v>0</v>
      </c>
      <c r="AV32" s="87">
        <f t="shared" si="39"/>
        <v>0</v>
      </c>
      <c r="AW32" s="87">
        <f t="shared" si="40"/>
        <v>0</v>
      </c>
      <c r="AX32" s="87">
        <f t="shared" si="41"/>
        <v>0</v>
      </c>
      <c r="AY32" s="67">
        <f t="shared" si="3"/>
        <v>0.15040221243028987</v>
      </c>
      <c r="AZ32" s="88">
        <f t="shared" si="42"/>
        <v>0</v>
      </c>
      <c r="BA32" s="88">
        <f t="shared" si="43"/>
        <v>0</v>
      </c>
      <c r="BB32" s="88">
        <f t="shared" si="44"/>
        <v>0</v>
      </c>
      <c r="BC32" s="88">
        <f t="shared" si="45"/>
        <v>0</v>
      </c>
      <c r="BD32" s="88">
        <f t="shared" si="46"/>
        <v>0</v>
      </c>
      <c r="BE32" s="87">
        <f t="shared" si="47"/>
        <v>0</v>
      </c>
      <c r="BF32" s="87">
        <f t="shared" si="48"/>
        <v>0</v>
      </c>
      <c r="BG32" s="87">
        <f t="shared" si="49"/>
        <v>0</v>
      </c>
      <c r="BH32" s="73">
        <f t="shared" si="50"/>
        <v>0</v>
      </c>
      <c r="BI32" s="88">
        <f t="shared" si="13"/>
        <v>100000</v>
      </c>
      <c r="BJ32" s="95">
        <f t="shared" si="51"/>
        <v>43707.67531704256</v>
      </c>
      <c r="BK32" s="96">
        <f t="shared" si="52"/>
        <v>15040.221243028987</v>
      </c>
      <c r="BL32" s="88">
        <f>5000</f>
        <v>5000</v>
      </c>
      <c r="BM32" s="97">
        <f t="shared" si="16"/>
        <v>2185.383765852128</v>
      </c>
      <c r="BN32" s="96">
        <f t="shared" si="17"/>
        <v>752.0110621514493</v>
      </c>
    </row>
    <row r="33" spans="1:66" s="224" customFormat="1" ht="15">
      <c r="A33" s="71">
        <v>2044</v>
      </c>
      <c r="B33" s="15">
        <v>29</v>
      </c>
      <c r="C33" s="220"/>
      <c r="D33" s="222">
        <f t="shared" si="4"/>
        <v>0</v>
      </c>
      <c r="E33" s="47">
        <f t="shared" si="0"/>
        <v>0</v>
      </c>
      <c r="F33" s="48">
        <f t="shared" si="1"/>
        <v>0</v>
      </c>
      <c r="G33" s="120">
        <f>'VMT Multipliers'!W$21</f>
        <v>0.14312195121951218</v>
      </c>
      <c r="H33" s="120">
        <f>'VMT Multipliers'!X$21</f>
        <v>0.25066787456445994</v>
      </c>
      <c r="I33" s="120">
        <f>'VMT Multipliers'!Y$21</f>
        <v>0.015675261324041814</v>
      </c>
      <c r="J33" s="120">
        <f>'VMT Multipliers'!Z$21</f>
        <v>0.061201672473867604</v>
      </c>
      <c r="K33" s="120">
        <f>'VMT Multipliers'!AA$21</f>
        <v>0.03748432055749129</v>
      </c>
      <c r="L33" s="118">
        <f>'VMT Multipliers'!W$20</f>
        <v>0.0013630662020905925</v>
      </c>
      <c r="M33" s="118">
        <f>'VMT Multipliers'!X$20</f>
        <v>0.10495609756097561</v>
      </c>
      <c r="N33" s="118">
        <f>'VMT Multipliers'!Y$20</f>
        <v>0.01622048780487805</v>
      </c>
      <c r="O33" s="118">
        <f>'VMT Multipliers'!Z$20</f>
        <v>0.01812878048780488</v>
      </c>
      <c r="P33" s="118">
        <f>'VMT Multipliers'!AA$20</f>
        <v>0.0012267595818815332</v>
      </c>
      <c r="Q33" s="91">
        <f t="shared" si="18"/>
        <v>0</v>
      </c>
      <c r="R33" s="27">
        <f t="shared" si="5"/>
        <v>0</v>
      </c>
      <c r="S33" s="28">
        <f t="shared" si="19"/>
        <v>0</v>
      </c>
      <c r="T33" s="91">
        <f t="shared" si="20"/>
        <v>0</v>
      </c>
      <c r="U33" s="27">
        <f t="shared" si="21"/>
        <v>0</v>
      </c>
      <c r="V33" s="28">
        <f t="shared" si="22"/>
        <v>0</v>
      </c>
      <c r="W33" s="91">
        <f t="shared" si="23"/>
        <v>0</v>
      </c>
      <c r="X33" s="27">
        <f t="shared" si="24"/>
        <v>0</v>
      </c>
      <c r="Y33" s="28">
        <f t="shared" si="25"/>
        <v>0</v>
      </c>
      <c r="Z33" s="91">
        <f t="shared" si="26"/>
        <v>0</v>
      </c>
      <c r="AA33" s="27">
        <f t="shared" si="27"/>
        <v>0</v>
      </c>
      <c r="AB33" s="28">
        <f t="shared" si="28"/>
        <v>0</v>
      </c>
      <c r="AC33" s="91">
        <f t="shared" si="29"/>
        <v>0</v>
      </c>
      <c r="AD33" s="27">
        <f t="shared" si="30"/>
        <v>0</v>
      </c>
      <c r="AE33" s="28">
        <f t="shared" si="31"/>
        <v>0</v>
      </c>
      <c r="AF33" s="20">
        <f t="shared" si="6"/>
        <v>0</v>
      </c>
      <c r="AG33" s="20">
        <f t="shared" si="7"/>
        <v>0</v>
      </c>
      <c r="AH33" s="29">
        <f t="shared" si="8"/>
        <v>0</v>
      </c>
      <c r="AI33" s="29">
        <f t="shared" si="9"/>
        <v>0</v>
      </c>
      <c r="AJ33" s="29">
        <f t="shared" si="10"/>
        <v>0</v>
      </c>
      <c r="AK33" s="33">
        <f t="shared" si="11"/>
        <v>0</v>
      </c>
      <c r="AL33" s="32">
        <f t="shared" si="12"/>
        <v>0</v>
      </c>
      <c r="AM33" s="68">
        <v>43.08</v>
      </c>
      <c r="AN33" s="29">
        <f t="shared" si="32"/>
        <v>0</v>
      </c>
      <c r="AO33" s="67">
        <f t="shared" si="2"/>
        <v>0.4243463623013841</v>
      </c>
      <c r="AP33" s="88">
        <f t="shared" si="33"/>
        <v>0</v>
      </c>
      <c r="AQ33" s="88">
        <f t="shared" si="34"/>
        <v>0</v>
      </c>
      <c r="AR33" s="88">
        <f t="shared" si="35"/>
        <v>0</v>
      </c>
      <c r="AS33" s="88">
        <f t="shared" si="36"/>
        <v>0</v>
      </c>
      <c r="AT33" s="88">
        <f t="shared" si="37"/>
        <v>0</v>
      </c>
      <c r="AU33" s="87">
        <f t="shared" si="38"/>
        <v>0</v>
      </c>
      <c r="AV33" s="87">
        <f t="shared" si="39"/>
        <v>0</v>
      </c>
      <c r="AW33" s="87">
        <f t="shared" si="40"/>
        <v>0</v>
      </c>
      <c r="AX33" s="87">
        <f t="shared" si="41"/>
        <v>0</v>
      </c>
      <c r="AY33" s="67">
        <f t="shared" si="3"/>
        <v>0.1405628153554111</v>
      </c>
      <c r="AZ33" s="88">
        <f t="shared" si="42"/>
        <v>0</v>
      </c>
      <c r="BA33" s="88">
        <f t="shared" si="43"/>
        <v>0</v>
      </c>
      <c r="BB33" s="88">
        <f t="shared" si="44"/>
        <v>0</v>
      </c>
      <c r="BC33" s="88">
        <f t="shared" si="45"/>
        <v>0</v>
      </c>
      <c r="BD33" s="88">
        <f t="shared" si="46"/>
        <v>0</v>
      </c>
      <c r="BE33" s="87">
        <f t="shared" si="47"/>
        <v>0</v>
      </c>
      <c r="BF33" s="87">
        <f t="shared" si="48"/>
        <v>0</v>
      </c>
      <c r="BG33" s="87">
        <f t="shared" si="49"/>
        <v>0</v>
      </c>
      <c r="BH33" s="73">
        <f t="shared" si="50"/>
        <v>0</v>
      </c>
      <c r="BI33" s="88">
        <f t="shared" si="13"/>
        <v>100000</v>
      </c>
      <c r="BJ33" s="95">
        <f t="shared" si="51"/>
        <v>42434.636230138414</v>
      </c>
      <c r="BK33" s="96">
        <f t="shared" si="52"/>
        <v>14056.28153554111</v>
      </c>
      <c r="BL33" s="88">
        <f>5000</f>
        <v>5000</v>
      </c>
      <c r="BM33" s="97">
        <f t="shared" si="16"/>
        <v>2121.7318115069206</v>
      </c>
      <c r="BN33" s="96">
        <f t="shared" si="17"/>
        <v>702.8140767770554</v>
      </c>
    </row>
    <row r="34" spans="1:66" s="224" customFormat="1" ht="15">
      <c r="A34" s="72">
        <v>2045</v>
      </c>
      <c r="B34" s="222">
        <v>30</v>
      </c>
      <c r="C34" s="220"/>
      <c r="D34" s="222">
        <f t="shared" si="4"/>
        <v>0</v>
      </c>
      <c r="E34" s="47">
        <f t="shared" si="0"/>
        <v>0</v>
      </c>
      <c r="F34" s="48">
        <f t="shared" si="1"/>
        <v>0</v>
      </c>
      <c r="G34" s="120">
        <f>'VMT Multipliers'!W$21</f>
        <v>0.14312195121951218</v>
      </c>
      <c r="H34" s="120">
        <f>'VMT Multipliers'!X$21</f>
        <v>0.25066787456445994</v>
      </c>
      <c r="I34" s="120">
        <f>'VMT Multipliers'!Y$21</f>
        <v>0.015675261324041814</v>
      </c>
      <c r="J34" s="120">
        <f>'VMT Multipliers'!Z$21</f>
        <v>0.061201672473867604</v>
      </c>
      <c r="K34" s="120">
        <f>'VMT Multipliers'!AA$21</f>
        <v>0.03748432055749129</v>
      </c>
      <c r="L34" s="118">
        <f>'VMT Multipliers'!W$20</f>
        <v>0.0013630662020905925</v>
      </c>
      <c r="M34" s="118">
        <f>'VMT Multipliers'!X$20</f>
        <v>0.10495609756097561</v>
      </c>
      <c r="N34" s="118">
        <f>'VMT Multipliers'!Y$20</f>
        <v>0.01622048780487805</v>
      </c>
      <c r="O34" s="118">
        <f>'VMT Multipliers'!Z$20</f>
        <v>0.01812878048780488</v>
      </c>
      <c r="P34" s="118">
        <f>'VMT Multipliers'!AA$20</f>
        <v>0.0012267595818815332</v>
      </c>
      <c r="Q34" s="91">
        <f t="shared" si="18"/>
        <v>0</v>
      </c>
      <c r="R34" s="27">
        <f t="shared" si="5"/>
        <v>0</v>
      </c>
      <c r="S34" s="28">
        <f t="shared" si="19"/>
        <v>0</v>
      </c>
      <c r="T34" s="91">
        <f t="shared" si="20"/>
        <v>0</v>
      </c>
      <c r="U34" s="27">
        <f t="shared" si="21"/>
        <v>0</v>
      </c>
      <c r="V34" s="28">
        <f t="shared" si="22"/>
        <v>0</v>
      </c>
      <c r="W34" s="91">
        <f t="shared" si="23"/>
        <v>0</v>
      </c>
      <c r="X34" s="27">
        <f t="shared" si="24"/>
        <v>0</v>
      </c>
      <c r="Y34" s="28">
        <f t="shared" si="25"/>
        <v>0</v>
      </c>
      <c r="Z34" s="91">
        <f t="shared" si="26"/>
        <v>0</v>
      </c>
      <c r="AA34" s="27">
        <f t="shared" si="27"/>
        <v>0</v>
      </c>
      <c r="AB34" s="28">
        <f t="shared" si="28"/>
        <v>0</v>
      </c>
      <c r="AC34" s="91">
        <f t="shared" si="29"/>
        <v>0</v>
      </c>
      <c r="AD34" s="27">
        <f t="shared" si="30"/>
        <v>0</v>
      </c>
      <c r="AE34" s="28">
        <f t="shared" si="31"/>
        <v>0</v>
      </c>
      <c r="AF34" s="20">
        <f t="shared" si="6"/>
        <v>0</v>
      </c>
      <c r="AG34" s="20">
        <f t="shared" si="7"/>
        <v>0</v>
      </c>
      <c r="AH34" s="29">
        <f t="shared" si="8"/>
        <v>0</v>
      </c>
      <c r="AI34" s="29">
        <f t="shared" si="9"/>
        <v>0</v>
      </c>
      <c r="AJ34" s="29">
        <f t="shared" si="10"/>
        <v>0</v>
      </c>
      <c r="AK34" s="33">
        <f t="shared" si="11"/>
        <v>0</v>
      </c>
      <c r="AL34" s="32">
        <f t="shared" si="12"/>
        <v>0</v>
      </c>
      <c r="AM34" s="68">
        <v>43.65</v>
      </c>
      <c r="AN34" s="29">
        <f t="shared" si="32"/>
        <v>0</v>
      </c>
      <c r="AO34" s="67">
        <f t="shared" si="2"/>
        <v>0.4119867595159069</v>
      </c>
      <c r="AP34" s="88">
        <f t="shared" si="33"/>
        <v>0</v>
      </c>
      <c r="AQ34" s="88">
        <f t="shared" si="34"/>
        <v>0</v>
      </c>
      <c r="AR34" s="88">
        <f t="shared" si="35"/>
        <v>0</v>
      </c>
      <c r="AS34" s="88">
        <f t="shared" si="36"/>
        <v>0</v>
      </c>
      <c r="AT34" s="88">
        <f t="shared" si="37"/>
        <v>0</v>
      </c>
      <c r="AU34" s="87">
        <f t="shared" si="38"/>
        <v>0</v>
      </c>
      <c r="AV34" s="87">
        <f t="shared" si="39"/>
        <v>0</v>
      </c>
      <c r="AW34" s="87">
        <f t="shared" si="40"/>
        <v>0</v>
      </c>
      <c r="AX34" s="87">
        <f t="shared" si="41"/>
        <v>0</v>
      </c>
      <c r="AY34" s="67">
        <f t="shared" si="3"/>
        <v>0.13136711715458982</v>
      </c>
      <c r="AZ34" s="88">
        <f t="shared" si="42"/>
        <v>0</v>
      </c>
      <c r="BA34" s="88">
        <f t="shared" si="43"/>
        <v>0</v>
      </c>
      <c r="BB34" s="88">
        <f t="shared" si="44"/>
        <v>0</v>
      </c>
      <c r="BC34" s="88">
        <f t="shared" si="45"/>
        <v>0</v>
      </c>
      <c r="BD34" s="88">
        <f t="shared" si="46"/>
        <v>0</v>
      </c>
      <c r="BE34" s="87">
        <f t="shared" si="47"/>
        <v>0</v>
      </c>
      <c r="BF34" s="87">
        <f t="shared" si="48"/>
        <v>0</v>
      </c>
      <c r="BG34" s="87">
        <f t="shared" si="49"/>
        <v>0</v>
      </c>
      <c r="BH34" s="73">
        <f t="shared" si="50"/>
        <v>0</v>
      </c>
      <c r="BI34" s="88">
        <f t="shared" si="13"/>
        <v>100000</v>
      </c>
      <c r="BJ34" s="95">
        <f t="shared" si="51"/>
        <v>41198.67595159069</v>
      </c>
      <c r="BK34" s="96">
        <f t="shared" si="52"/>
        <v>13136.711715458981</v>
      </c>
      <c r="BL34" s="88">
        <f>5000</f>
        <v>5000</v>
      </c>
      <c r="BM34" s="97">
        <f t="shared" si="16"/>
        <v>2059.9337975795347</v>
      </c>
      <c r="BN34" s="96">
        <f t="shared" si="17"/>
        <v>656.8355857729491</v>
      </c>
    </row>
    <row r="35" spans="17:66" s="53" customFormat="1" ht="15.75" thickBot="1">
      <c r="Q35" s="54">
        <f aca="true" t="shared" si="53" ref="Q35:AE35">SUM(Q10:Q34)</f>
        <v>0</v>
      </c>
      <c r="R35" s="54">
        <f t="shared" si="53"/>
        <v>0</v>
      </c>
      <c r="S35" s="54">
        <f t="shared" si="53"/>
        <v>0</v>
      </c>
      <c r="T35" s="54">
        <f t="shared" si="53"/>
        <v>0</v>
      </c>
      <c r="U35" s="54">
        <f t="shared" si="53"/>
        <v>0</v>
      </c>
      <c r="V35" s="54">
        <f t="shared" si="53"/>
        <v>0</v>
      </c>
      <c r="W35" s="54">
        <f t="shared" si="53"/>
        <v>0</v>
      </c>
      <c r="X35" s="54">
        <f t="shared" si="53"/>
        <v>0</v>
      </c>
      <c r="Y35" s="54">
        <f t="shared" si="53"/>
        <v>0</v>
      </c>
      <c r="Z35" s="54">
        <f t="shared" si="53"/>
        <v>0</v>
      </c>
      <c r="AA35" s="54">
        <f t="shared" si="53"/>
        <v>0</v>
      </c>
      <c r="AB35" s="54">
        <f t="shared" si="53"/>
        <v>0</v>
      </c>
      <c r="AC35" s="54">
        <f t="shared" si="53"/>
        <v>0</v>
      </c>
      <c r="AD35" s="54">
        <f t="shared" si="53"/>
        <v>0</v>
      </c>
      <c r="AE35" s="54">
        <f t="shared" si="53"/>
        <v>0</v>
      </c>
      <c r="AF35" s="156"/>
      <c r="AG35" s="156"/>
      <c r="AH35" s="157">
        <f>SUM(AH10:AH34)</f>
        <v>0</v>
      </c>
      <c r="AI35" s="157">
        <f>SUM(AI10:AI34)</f>
        <v>0</v>
      </c>
      <c r="AJ35" s="157">
        <f>SUM(AJ10:AJ34)</f>
        <v>0</v>
      </c>
      <c r="AK35" s="157"/>
      <c r="AL35" s="157"/>
      <c r="AM35" s="157"/>
      <c r="AN35" s="157">
        <f>SUM(AN10:AN34)</f>
        <v>0</v>
      </c>
      <c r="AO35" s="158"/>
      <c r="AP35" s="159">
        <f aca="true" t="shared" si="54" ref="AP35:AX35">SUM(AP10:AP34)</f>
        <v>0</v>
      </c>
      <c r="AQ35" s="159">
        <f t="shared" si="54"/>
        <v>0</v>
      </c>
      <c r="AR35" s="159">
        <f t="shared" si="54"/>
        <v>0</v>
      </c>
      <c r="AS35" s="159">
        <f t="shared" si="54"/>
        <v>0</v>
      </c>
      <c r="AT35" s="159">
        <f t="shared" si="54"/>
        <v>0</v>
      </c>
      <c r="AU35" s="159">
        <f t="shared" si="54"/>
        <v>0</v>
      </c>
      <c r="AV35" s="159">
        <f t="shared" si="54"/>
        <v>0</v>
      </c>
      <c r="AW35" s="159">
        <f t="shared" si="54"/>
        <v>0</v>
      </c>
      <c r="AX35" s="159">
        <f t="shared" si="54"/>
        <v>0</v>
      </c>
      <c r="AY35" s="160"/>
      <c r="AZ35" s="159">
        <f aca="true" t="shared" si="55" ref="AZ35:BH35">SUM(AZ10:AZ34)</f>
        <v>0</v>
      </c>
      <c r="BA35" s="159">
        <f t="shared" si="55"/>
        <v>0</v>
      </c>
      <c r="BB35" s="159">
        <f t="shared" si="55"/>
        <v>0</v>
      </c>
      <c r="BC35" s="159">
        <f t="shared" si="55"/>
        <v>0</v>
      </c>
      <c r="BD35" s="159">
        <f t="shared" si="55"/>
        <v>0</v>
      </c>
      <c r="BE35" s="159">
        <f t="shared" si="55"/>
        <v>0</v>
      </c>
      <c r="BF35" s="159">
        <f t="shared" si="55"/>
        <v>0</v>
      </c>
      <c r="BG35" s="159">
        <f t="shared" si="55"/>
        <v>0</v>
      </c>
      <c r="BH35" s="233">
        <f t="shared" si="55"/>
        <v>0</v>
      </c>
      <c r="BI35" s="161">
        <f aca="true" t="shared" si="56" ref="BI35:BN35">SUM(BI4:BI34)</f>
        <v>2600000</v>
      </c>
      <c r="BJ35" s="237">
        <f t="shared" si="56"/>
        <v>1588334.294665941</v>
      </c>
      <c r="BK35" s="163">
        <f t="shared" si="56"/>
        <v>902182.9927041933</v>
      </c>
      <c r="BL35" s="161">
        <f t="shared" si="56"/>
        <v>130000</v>
      </c>
      <c r="BM35" s="162">
        <f t="shared" si="56"/>
        <v>79416.71473329706</v>
      </c>
      <c r="BN35" s="163">
        <f t="shared" si="56"/>
        <v>45109.14963520965</v>
      </c>
    </row>
    <row r="37" spans="2:5" ht="15" customHeight="1">
      <c r="B37" s="350"/>
      <c r="C37" s="350"/>
      <c r="D37" s="122"/>
      <c r="E37" s="122"/>
    </row>
    <row r="38" spans="2:37" ht="15">
      <c r="B38" s="350"/>
      <c r="C38" s="350"/>
      <c r="D38" s="122"/>
      <c r="E38" s="122"/>
      <c r="AD38" s="122" t="s">
        <v>102</v>
      </c>
      <c r="AE38" s="122">
        <v>6.2</v>
      </c>
      <c r="AG38" s="122" t="s">
        <v>105</v>
      </c>
      <c r="AH38" s="122">
        <v>0.244</v>
      </c>
      <c r="AJ38" s="122" t="s">
        <v>107</v>
      </c>
      <c r="AK38" s="122">
        <v>15</v>
      </c>
    </row>
    <row r="39" spans="2:37" ht="30">
      <c r="B39" s="350"/>
      <c r="C39" s="350"/>
      <c r="D39" s="122"/>
      <c r="E39" s="122"/>
      <c r="O39" t="s">
        <v>111</v>
      </c>
      <c r="AD39" s="122" t="s">
        <v>103</v>
      </c>
      <c r="AE39" s="122">
        <v>24.5</v>
      </c>
      <c r="AG39" s="122" t="s">
        <v>106</v>
      </c>
      <c r="AH39" s="122">
        <v>0.184</v>
      </c>
      <c r="AJ39" s="123" t="s">
        <v>108</v>
      </c>
      <c r="AK39" s="122">
        <v>71.61</v>
      </c>
    </row>
    <row r="40" spans="2:36" ht="15">
      <c r="B40" s="122"/>
      <c r="C40" s="122"/>
      <c r="D40" s="122"/>
      <c r="E40" s="122"/>
      <c r="AD40" s="122" t="s">
        <v>104</v>
      </c>
      <c r="AE40" s="279">
        <f>'Monetary Assumptions'!E25</f>
        <v>2.06</v>
      </c>
      <c r="AJ40" s="121"/>
    </row>
  </sheetData>
  <sheetProtection/>
  <mergeCells count="52">
    <mergeCell ref="BN2:BN3"/>
    <mergeCell ref="B37:C39"/>
    <mergeCell ref="BH2:BH3"/>
    <mergeCell ref="BI2:BI3"/>
    <mergeCell ref="BJ2:BJ3"/>
    <mergeCell ref="BK2:BK3"/>
    <mergeCell ref="BL2:BL3"/>
    <mergeCell ref="BM2:BM3"/>
    <mergeCell ref="BB2:BB3"/>
    <mergeCell ref="BC2:BC3"/>
    <mergeCell ref="BD2:BD3"/>
    <mergeCell ref="BE2:BE3"/>
    <mergeCell ref="BF2:BF3"/>
    <mergeCell ref="BG2:BG3"/>
    <mergeCell ref="AU2:AU3"/>
    <mergeCell ref="AV2:AV3"/>
    <mergeCell ref="AW2:AW3"/>
    <mergeCell ref="AX2:AX3"/>
    <mergeCell ref="AZ2:AZ3"/>
    <mergeCell ref="BA2:BA3"/>
    <mergeCell ref="AN2:AN3"/>
    <mergeCell ref="AP2:AP3"/>
    <mergeCell ref="AQ2:AQ3"/>
    <mergeCell ref="AR2:AR3"/>
    <mergeCell ref="AS2:AS3"/>
    <mergeCell ref="AT2:AT3"/>
    <mergeCell ref="AH2:AH3"/>
    <mergeCell ref="AI2:AI3"/>
    <mergeCell ref="AJ2:AJ3"/>
    <mergeCell ref="AK2:AK3"/>
    <mergeCell ref="AL2:AL3"/>
    <mergeCell ref="AM2:AM3"/>
    <mergeCell ref="BL1:BN1"/>
    <mergeCell ref="A2:A3"/>
    <mergeCell ref="B2:B3"/>
    <mergeCell ref="C2:D2"/>
    <mergeCell ref="E2:F2"/>
    <mergeCell ref="G2:K2"/>
    <mergeCell ref="L2:P2"/>
    <mergeCell ref="Q2:S2"/>
    <mergeCell ref="T2:V2"/>
    <mergeCell ref="W2:Y2"/>
    <mergeCell ref="E1:AN1"/>
    <mergeCell ref="AO1:AO3"/>
    <mergeCell ref="AP1:AX1"/>
    <mergeCell ref="AY1:AY3"/>
    <mergeCell ref="AZ1:BH1"/>
    <mergeCell ref="BI1:BK1"/>
    <mergeCell ref="Z2:AB2"/>
    <mergeCell ref="AC2:AE2"/>
    <mergeCell ref="AF2:AF3"/>
    <mergeCell ref="AG2:AG3"/>
  </mergeCells>
  <printOptions/>
  <pageMargins left="0.7" right="0.7" top="0.75" bottom="0.75" header="0.3" footer="0.3"/>
  <pageSetup horizontalDpi="600" verticalDpi="600" orientation="portrait" r:id="rId2"/>
  <drawing r:id="rId1"/>
</worksheet>
</file>

<file path=xl/worksheets/sheet7.xml><?xml version="1.0" encoding="utf-8"?>
<worksheet xmlns="http://schemas.openxmlformats.org/spreadsheetml/2006/main" xmlns:r="http://schemas.openxmlformats.org/officeDocument/2006/relationships">
  <dimension ref="A1:BH40"/>
  <sheetViews>
    <sheetView zoomScalePageLayoutView="0" workbookViewId="0" topLeftCell="I22">
      <selection activeCell="O46" sqref="O46"/>
    </sheetView>
  </sheetViews>
  <sheetFormatPr defaultColWidth="9.140625" defaultRowHeight="15"/>
  <cols>
    <col min="2" max="2" width="9.140625" style="0" customWidth="1"/>
    <col min="5" max="5" width="11.421875" style="0" customWidth="1"/>
    <col min="6" max="6" width="11.7109375" style="0" customWidth="1"/>
    <col min="7" max="7" width="10.00390625" style="0" customWidth="1"/>
    <col min="8" max="8" width="11.00390625" style="0" customWidth="1"/>
    <col min="9" max="11" width="9.140625" style="0" customWidth="1"/>
    <col min="12" max="12" width="10.00390625" style="0" customWidth="1"/>
    <col min="13" max="13" width="11.00390625" style="0" customWidth="1"/>
    <col min="14" max="16" width="9.140625" style="0" customWidth="1"/>
    <col min="17" max="17" width="14.8515625" style="0" customWidth="1"/>
    <col min="18" max="18" width="10.57421875" style="0" bestFit="1" customWidth="1"/>
    <col min="19" max="19" width="14.140625" style="0" customWidth="1"/>
    <col min="20" max="22" width="12.57421875" style="0" bestFit="1" customWidth="1"/>
    <col min="23" max="25" width="11.57421875" style="0" bestFit="1" customWidth="1"/>
    <col min="26" max="26" width="12.57421875" style="0" bestFit="1" customWidth="1"/>
    <col min="27" max="27" width="11.57421875" style="0" bestFit="1" customWidth="1"/>
    <col min="28" max="29" width="12.57421875" style="0" bestFit="1" customWidth="1"/>
    <col min="30" max="30" width="10.57421875" style="0" bestFit="1" customWidth="1"/>
    <col min="31" max="31" width="12.57421875" style="0" bestFit="1" customWidth="1"/>
    <col min="32" max="33" width="16.140625" style="0" customWidth="1"/>
    <col min="34" max="34" width="14.57421875" style="0" customWidth="1"/>
    <col min="35" max="35" width="13.57421875" style="0" bestFit="1" customWidth="1"/>
    <col min="36" max="36" width="12.140625" style="0" customWidth="1"/>
    <col min="37" max="38" width="15.7109375" style="0" customWidth="1"/>
    <col min="39" max="40" width="13.00390625" style="0" customWidth="1"/>
    <col min="42" max="43" width="12.57421875" style="0" bestFit="1" customWidth="1"/>
    <col min="44" max="46" width="11.57421875" style="0" bestFit="1" customWidth="1"/>
    <col min="47" max="48" width="12.8515625" style="0" customWidth="1"/>
    <col min="49" max="49" width="11.7109375" style="0" customWidth="1"/>
    <col min="50" max="50" width="12.421875" style="0" customWidth="1"/>
    <col min="52" max="52" width="12.57421875" style="0" bestFit="1" customWidth="1"/>
    <col min="53" max="53" width="12.421875" style="0" customWidth="1"/>
    <col min="54" max="55" width="11.57421875" style="0" bestFit="1" customWidth="1"/>
    <col min="56" max="56" width="12.00390625" style="0" customWidth="1"/>
    <col min="57" max="57" width="13.00390625" style="0" customWidth="1"/>
    <col min="58" max="58" width="12.8515625" style="0" customWidth="1"/>
    <col min="59" max="60" width="11.7109375" style="0" customWidth="1"/>
  </cols>
  <sheetData>
    <row r="1" spans="5:60" ht="15.75" thickBot="1">
      <c r="E1" s="339" t="s">
        <v>56</v>
      </c>
      <c r="F1" s="340"/>
      <c r="G1" s="341"/>
      <c r="H1" s="341"/>
      <c r="I1" s="341"/>
      <c r="J1" s="341"/>
      <c r="K1" s="341"/>
      <c r="L1" s="341"/>
      <c r="M1" s="341"/>
      <c r="N1" s="341"/>
      <c r="O1" s="341"/>
      <c r="P1" s="341"/>
      <c r="Q1" s="341"/>
      <c r="R1" s="341"/>
      <c r="S1" s="341"/>
      <c r="T1" s="341"/>
      <c r="U1" s="341"/>
      <c r="V1" s="341"/>
      <c r="W1" s="341"/>
      <c r="X1" s="341"/>
      <c r="Y1" s="341"/>
      <c r="Z1" s="341"/>
      <c r="AA1" s="341"/>
      <c r="AB1" s="341"/>
      <c r="AC1" s="341"/>
      <c r="AD1" s="341"/>
      <c r="AE1" s="341"/>
      <c r="AF1" s="341"/>
      <c r="AG1" s="341"/>
      <c r="AH1" s="341"/>
      <c r="AI1" s="341"/>
      <c r="AJ1" s="341"/>
      <c r="AK1" s="341"/>
      <c r="AL1" s="341"/>
      <c r="AM1" s="341"/>
      <c r="AN1" s="342"/>
      <c r="AO1" s="333" t="s">
        <v>50</v>
      </c>
      <c r="AP1" s="336" t="s">
        <v>51</v>
      </c>
      <c r="AQ1" s="337"/>
      <c r="AR1" s="337"/>
      <c r="AS1" s="337"/>
      <c r="AT1" s="337"/>
      <c r="AU1" s="337"/>
      <c r="AV1" s="337"/>
      <c r="AW1" s="337"/>
      <c r="AX1" s="338"/>
      <c r="AY1" s="333" t="s">
        <v>52</v>
      </c>
      <c r="AZ1" s="336" t="s">
        <v>53</v>
      </c>
      <c r="BA1" s="337"/>
      <c r="BB1" s="337"/>
      <c r="BC1" s="337"/>
      <c r="BD1" s="337"/>
      <c r="BE1" s="337"/>
      <c r="BF1" s="337"/>
      <c r="BG1" s="337"/>
      <c r="BH1" s="338"/>
    </row>
    <row r="2" spans="1:60" ht="15" customHeight="1">
      <c r="A2" s="322" t="s">
        <v>81</v>
      </c>
      <c r="B2" s="343" t="s">
        <v>82</v>
      </c>
      <c r="C2" s="330" t="s">
        <v>39</v>
      </c>
      <c r="D2" s="331"/>
      <c r="E2" s="332" t="s">
        <v>40</v>
      </c>
      <c r="F2" s="331"/>
      <c r="G2" s="327" t="s">
        <v>36</v>
      </c>
      <c r="H2" s="327"/>
      <c r="I2" s="327"/>
      <c r="J2" s="327"/>
      <c r="K2" s="327"/>
      <c r="L2" s="327" t="s">
        <v>38</v>
      </c>
      <c r="M2" s="327"/>
      <c r="N2" s="327"/>
      <c r="O2" s="327"/>
      <c r="P2" s="327"/>
      <c r="Q2" s="324" t="s">
        <v>41</v>
      </c>
      <c r="R2" s="325"/>
      <c r="S2" s="326"/>
      <c r="T2" s="324" t="s">
        <v>42</v>
      </c>
      <c r="U2" s="325"/>
      <c r="V2" s="326"/>
      <c r="W2" s="324" t="s">
        <v>43</v>
      </c>
      <c r="X2" s="325"/>
      <c r="Y2" s="326"/>
      <c r="Z2" s="324" t="s">
        <v>44</v>
      </c>
      <c r="AA2" s="325"/>
      <c r="AB2" s="326"/>
      <c r="AC2" s="324" t="s">
        <v>45</v>
      </c>
      <c r="AD2" s="325"/>
      <c r="AE2" s="326"/>
      <c r="AF2" s="328" t="s">
        <v>54</v>
      </c>
      <c r="AG2" s="328" t="s">
        <v>55</v>
      </c>
      <c r="AH2" s="328" t="s">
        <v>57</v>
      </c>
      <c r="AI2" s="328" t="s">
        <v>58</v>
      </c>
      <c r="AJ2" s="328" t="s">
        <v>59</v>
      </c>
      <c r="AK2" s="328" t="s">
        <v>60</v>
      </c>
      <c r="AL2" s="328" t="s">
        <v>61</v>
      </c>
      <c r="AM2" s="328" t="s">
        <v>62</v>
      </c>
      <c r="AN2" s="328" t="s">
        <v>63</v>
      </c>
      <c r="AO2" s="328"/>
      <c r="AP2" s="334" t="s">
        <v>18</v>
      </c>
      <c r="AQ2" s="334" t="s">
        <v>19</v>
      </c>
      <c r="AR2" s="334" t="s">
        <v>20</v>
      </c>
      <c r="AS2" s="334" t="s">
        <v>37</v>
      </c>
      <c r="AT2" s="334" t="s">
        <v>22</v>
      </c>
      <c r="AU2" s="328" t="s">
        <v>57</v>
      </c>
      <c r="AV2" s="328" t="s">
        <v>58</v>
      </c>
      <c r="AW2" s="328" t="s">
        <v>59</v>
      </c>
      <c r="AX2" s="328" t="s">
        <v>63</v>
      </c>
      <c r="AY2" s="328"/>
      <c r="AZ2" s="334" t="s">
        <v>18</v>
      </c>
      <c r="BA2" s="334" t="s">
        <v>19</v>
      </c>
      <c r="BB2" s="334" t="s">
        <v>20</v>
      </c>
      <c r="BC2" s="334" t="s">
        <v>37</v>
      </c>
      <c r="BD2" s="334" t="s">
        <v>22</v>
      </c>
      <c r="BE2" s="328" t="s">
        <v>57</v>
      </c>
      <c r="BF2" s="328" t="s">
        <v>58</v>
      </c>
      <c r="BG2" s="328" t="s">
        <v>59</v>
      </c>
      <c r="BH2" s="328" t="s">
        <v>63</v>
      </c>
    </row>
    <row r="3" spans="1:60" s="9" customFormat="1" ht="15.75" thickBot="1">
      <c r="A3" s="323"/>
      <c r="B3" s="344"/>
      <c r="C3" s="69" t="s">
        <v>4</v>
      </c>
      <c r="D3" s="18" t="s">
        <v>5</v>
      </c>
      <c r="E3" s="16" t="s">
        <v>4</v>
      </c>
      <c r="F3" s="18" t="s">
        <v>5</v>
      </c>
      <c r="G3" s="9" t="s">
        <v>18</v>
      </c>
      <c r="H3" s="9" t="s">
        <v>19</v>
      </c>
      <c r="I3" s="9" t="s">
        <v>20</v>
      </c>
      <c r="J3" s="9" t="s">
        <v>37</v>
      </c>
      <c r="K3" s="9" t="s">
        <v>22</v>
      </c>
      <c r="L3" s="9" t="s">
        <v>18</v>
      </c>
      <c r="M3" s="9" t="s">
        <v>19</v>
      </c>
      <c r="N3" s="9" t="s">
        <v>20</v>
      </c>
      <c r="O3" s="9" t="s">
        <v>37</v>
      </c>
      <c r="P3" s="9" t="s">
        <v>22</v>
      </c>
      <c r="Q3" s="16" t="s">
        <v>4</v>
      </c>
      <c r="R3" s="17" t="s">
        <v>5</v>
      </c>
      <c r="S3" s="18" t="s">
        <v>14</v>
      </c>
      <c r="T3" s="16" t="s">
        <v>4</v>
      </c>
      <c r="U3" s="17" t="s">
        <v>5</v>
      </c>
      <c r="V3" s="18" t="s">
        <v>14</v>
      </c>
      <c r="W3" s="16" t="s">
        <v>4</v>
      </c>
      <c r="X3" s="17" t="s">
        <v>5</v>
      </c>
      <c r="Y3" s="18" t="s">
        <v>14</v>
      </c>
      <c r="Z3" s="16" t="s">
        <v>4</v>
      </c>
      <c r="AA3" s="17" t="s">
        <v>5</v>
      </c>
      <c r="AB3" s="18" t="s">
        <v>14</v>
      </c>
      <c r="AC3" s="16" t="s">
        <v>4</v>
      </c>
      <c r="AD3" s="17" t="s">
        <v>5</v>
      </c>
      <c r="AE3" s="18" t="s">
        <v>14</v>
      </c>
      <c r="AF3" s="329"/>
      <c r="AG3" s="329"/>
      <c r="AH3" s="329"/>
      <c r="AI3" s="329"/>
      <c r="AJ3" s="329"/>
      <c r="AK3" s="329"/>
      <c r="AL3" s="329"/>
      <c r="AM3" s="329"/>
      <c r="AN3" s="329"/>
      <c r="AO3" s="329"/>
      <c r="AP3" s="335"/>
      <c r="AQ3" s="335"/>
      <c r="AR3" s="335"/>
      <c r="AS3" s="335"/>
      <c r="AT3" s="335"/>
      <c r="AU3" s="329"/>
      <c r="AV3" s="329"/>
      <c r="AW3" s="329"/>
      <c r="AX3" s="329"/>
      <c r="AY3" s="329"/>
      <c r="AZ3" s="335"/>
      <c r="BA3" s="335"/>
      <c r="BB3" s="335"/>
      <c r="BC3" s="335"/>
      <c r="BD3" s="335"/>
      <c r="BE3" s="329"/>
      <c r="BF3" s="329"/>
      <c r="BG3" s="329"/>
      <c r="BH3" s="329"/>
    </row>
    <row r="4" spans="1:60" s="64" customFormat="1" ht="15">
      <c r="A4" s="72">
        <v>2015</v>
      </c>
      <c r="B4" s="22">
        <v>0</v>
      </c>
      <c r="C4" s="70">
        <f>D37</f>
        <v>11310</v>
      </c>
      <c r="D4" s="22">
        <f>ROUNDDOWN(0*C4,0)</f>
        <v>0</v>
      </c>
      <c r="E4" s="51">
        <f>$D$38*C4</f>
        <v>-5315.7</v>
      </c>
      <c r="F4" s="52">
        <f aca="true" t="shared" si="0" ref="F4:F10">5.05*D4</f>
        <v>0</v>
      </c>
      <c r="Q4" s="21"/>
      <c r="R4" s="13"/>
      <c r="S4" s="22"/>
      <c r="T4" s="21"/>
      <c r="U4" s="13"/>
      <c r="V4" s="22"/>
      <c r="W4" s="21"/>
      <c r="X4" s="13"/>
      <c r="Y4" s="22"/>
      <c r="Z4" s="21"/>
      <c r="AA4" s="13"/>
      <c r="AB4" s="22"/>
      <c r="AC4" s="21"/>
      <c r="AD4" s="13"/>
      <c r="AE4" s="22"/>
      <c r="AF4" s="65"/>
      <c r="AG4" s="65"/>
      <c r="AH4" s="65"/>
      <c r="AI4" s="65"/>
      <c r="AJ4" s="65"/>
      <c r="AK4" s="65"/>
      <c r="AL4" s="65"/>
      <c r="AM4" s="68">
        <v>26.55</v>
      </c>
      <c r="AN4" s="65"/>
      <c r="AO4" s="67">
        <f>1/(1.03^(A4-A$4))</f>
        <v>1</v>
      </c>
      <c r="AP4" s="19"/>
      <c r="AQ4" s="19"/>
      <c r="AR4" s="19"/>
      <c r="AS4" s="19"/>
      <c r="AT4" s="19"/>
      <c r="AU4" s="66"/>
      <c r="AV4" s="66"/>
      <c r="AW4" s="66"/>
      <c r="AX4" s="66"/>
      <c r="AY4" s="67">
        <f>1/(1.07^(A4-A$4))</f>
        <v>1</v>
      </c>
      <c r="AZ4" s="19"/>
      <c r="BA4" s="19"/>
      <c r="BB4" s="19"/>
      <c r="BC4" s="19"/>
      <c r="BD4" s="19"/>
      <c r="BE4" s="66"/>
      <c r="BF4" s="66"/>
      <c r="BG4" s="66"/>
      <c r="BH4" s="66"/>
    </row>
    <row r="5" spans="1:60" s="64" customFormat="1" ht="15">
      <c r="A5" s="71">
        <v>2016</v>
      </c>
      <c r="B5" s="15">
        <v>1</v>
      </c>
      <c r="C5" s="70">
        <f>ROUNDDOWN($C$4*1.05^(A5-A$4),0)</f>
        <v>11875</v>
      </c>
      <c r="D5" s="22">
        <f aca="true" t="shared" si="1" ref="D5:D34">ROUNDDOWN(0*C5,0)</f>
        <v>0</v>
      </c>
      <c r="E5" s="51">
        <f aca="true" t="shared" si="2" ref="E5:E34">$D$38*C5</f>
        <v>-5581.25</v>
      </c>
      <c r="F5" s="52">
        <f t="shared" si="0"/>
        <v>0</v>
      </c>
      <c r="Q5" s="21"/>
      <c r="R5" s="13"/>
      <c r="S5" s="22"/>
      <c r="T5" s="21"/>
      <c r="U5" s="13"/>
      <c r="V5" s="22"/>
      <c r="W5" s="21"/>
      <c r="X5" s="13"/>
      <c r="Y5" s="22"/>
      <c r="Z5" s="21"/>
      <c r="AA5" s="13"/>
      <c r="AB5" s="22"/>
      <c r="AC5" s="21"/>
      <c r="AD5" s="13"/>
      <c r="AE5" s="22"/>
      <c r="AF5" s="65"/>
      <c r="AG5" s="65"/>
      <c r="AH5" s="65"/>
      <c r="AI5" s="65"/>
      <c r="AJ5" s="65"/>
      <c r="AK5" s="65"/>
      <c r="AL5" s="65"/>
      <c r="AM5" s="68">
        <v>27.12</v>
      </c>
      <c r="AN5" s="65"/>
      <c r="AO5" s="67">
        <f aca="true" t="shared" si="3" ref="AO5:AO34">1/(1.03^(A5-A$4))</f>
        <v>0.970873786407767</v>
      </c>
      <c r="AP5" s="19"/>
      <c r="AQ5" s="19"/>
      <c r="AR5" s="19"/>
      <c r="AS5" s="19"/>
      <c r="AT5" s="19"/>
      <c r="AU5" s="66"/>
      <c r="AV5" s="66"/>
      <c r="AW5" s="66"/>
      <c r="AX5" s="66"/>
      <c r="AY5" s="67">
        <f aca="true" t="shared" si="4" ref="AY5:AY34">1/(1.07^(A5-A$4))</f>
        <v>0.9345794392523364</v>
      </c>
      <c r="AZ5" s="19"/>
      <c r="BA5" s="19"/>
      <c r="BB5" s="19"/>
      <c r="BC5" s="19"/>
      <c r="BD5" s="19"/>
      <c r="BE5" s="66"/>
      <c r="BF5" s="66"/>
      <c r="BG5" s="66"/>
      <c r="BH5" s="66"/>
    </row>
    <row r="6" spans="1:60" s="64" customFormat="1" ht="15">
      <c r="A6" s="72">
        <v>2017</v>
      </c>
      <c r="B6" s="200">
        <v>2</v>
      </c>
      <c r="C6" s="70">
        <f>ROUNDDOWN($C$4*1.05^(A6-A$4),0)</f>
        <v>12469</v>
      </c>
      <c r="D6" s="22">
        <f t="shared" si="1"/>
        <v>0</v>
      </c>
      <c r="E6" s="51">
        <f t="shared" si="2"/>
        <v>-5860.429999999999</v>
      </c>
      <c r="F6" s="52">
        <f t="shared" si="0"/>
        <v>0</v>
      </c>
      <c r="Q6" s="21"/>
      <c r="R6" s="13"/>
      <c r="S6" s="22"/>
      <c r="T6" s="21"/>
      <c r="U6" s="13"/>
      <c r="V6" s="22"/>
      <c r="W6" s="21"/>
      <c r="X6" s="13"/>
      <c r="Y6" s="22"/>
      <c r="Z6" s="21"/>
      <c r="AA6" s="13"/>
      <c r="AB6" s="22"/>
      <c r="AC6" s="21"/>
      <c r="AD6" s="13"/>
      <c r="AE6" s="22"/>
      <c r="AF6" s="65"/>
      <c r="AG6" s="65"/>
      <c r="AH6" s="65"/>
      <c r="AI6" s="65"/>
      <c r="AJ6" s="65"/>
      <c r="AK6" s="65"/>
      <c r="AL6" s="65"/>
      <c r="AM6" s="68">
        <v>27.69</v>
      </c>
      <c r="AN6" s="65"/>
      <c r="AO6" s="67">
        <f t="shared" si="3"/>
        <v>0.9425959091337544</v>
      </c>
      <c r="AP6" s="19"/>
      <c r="AQ6" s="19"/>
      <c r="AR6" s="19"/>
      <c r="AS6" s="19"/>
      <c r="AT6" s="19"/>
      <c r="AU6" s="66"/>
      <c r="AV6" s="66"/>
      <c r="AW6" s="66"/>
      <c r="AX6" s="66"/>
      <c r="AY6" s="67">
        <f t="shared" si="4"/>
        <v>0.8734387282732116</v>
      </c>
      <c r="AZ6" s="19"/>
      <c r="BA6" s="19"/>
      <c r="BB6" s="19"/>
      <c r="BC6" s="19"/>
      <c r="BD6" s="19"/>
      <c r="BE6" s="66"/>
      <c r="BF6" s="66"/>
      <c r="BG6" s="66"/>
      <c r="BH6" s="66"/>
    </row>
    <row r="7" spans="1:60" s="64" customFormat="1" ht="15">
      <c r="A7" s="71">
        <v>2018</v>
      </c>
      <c r="B7" s="15">
        <v>3</v>
      </c>
      <c r="C7" s="70">
        <f>ROUNDDOWN($C$4*1.05^(A7-A$4),0)</f>
        <v>13092</v>
      </c>
      <c r="D7" s="22">
        <f t="shared" si="1"/>
        <v>0</v>
      </c>
      <c r="E7" s="51">
        <f t="shared" si="2"/>
        <v>-6153.24</v>
      </c>
      <c r="F7" s="52">
        <f t="shared" si="0"/>
        <v>0</v>
      </c>
      <c r="Q7" s="21"/>
      <c r="R7" s="13"/>
      <c r="S7" s="22"/>
      <c r="T7" s="21"/>
      <c r="U7" s="13"/>
      <c r="V7" s="22"/>
      <c r="W7" s="21"/>
      <c r="X7" s="13"/>
      <c r="Y7" s="22"/>
      <c r="Z7" s="21"/>
      <c r="AA7" s="13"/>
      <c r="AB7" s="22"/>
      <c r="AC7" s="21"/>
      <c r="AD7" s="13"/>
      <c r="AE7" s="22"/>
      <c r="AF7" s="65"/>
      <c r="AG7" s="65"/>
      <c r="AH7" s="65"/>
      <c r="AI7" s="65"/>
      <c r="AJ7" s="65"/>
      <c r="AK7" s="65"/>
      <c r="AL7" s="65"/>
      <c r="AM7" s="68">
        <v>28.26</v>
      </c>
      <c r="AN7" s="65"/>
      <c r="AO7" s="67">
        <f t="shared" si="3"/>
        <v>0.9151416593531596</v>
      </c>
      <c r="AP7" s="19"/>
      <c r="AQ7" s="19"/>
      <c r="AR7" s="19"/>
      <c r="AS7" s="19"/>
      <c r="AT7" s="19"/>
      <c r="AU7" s="66"/>
      <c r="AV7" s="66"/>
      <c r="AW7" s="66"/>
      <c r="AX7" s="66"/>
      <c r="AY7" s="67">
        <f t="shared" si="4"/>
        <v>0.8162978768908519</v>
      </c>
      <c r="AZ7" s="19"/>
      <c r="BA7" s="19"/>
      <c r="BB7" s="19"/>
      <c r="BC7" s="19"/>
      <c r="BD7" s="19"/>
      <c r="BE7" s="66"/>
      <c r="BF7" s="66"/>
      <c r="BG7" s="66"/>
      <c r="BH7" s="66"/>
    </row>
    <row r="8" spans="1:60" s="64" customFormat="1" ht="15">
      <c r="A8" s="72">
        <v>2019</v>
      </c>
      <c r="B8" s="200">
        <v>4</v>
      </c>
      <c r="C8" s="70">
        <f>ROUNDDOWN($C$4*1.05^(A8-A$4),0)</f>
        <v>13747</v>
      </c>
      <c r="D8" s="22">
        <f t="shared" si="1"/>
        <v>0</v>
      </c>
      <c r="E8" s="51">
        <f t="shared" si="2"/>
        <v>-6461.089999999999</v>
      </c>
      <c r="F8" s="52">
        <f t="shared" si="0"/>
        <v>0</v>
      </c>
      <c r="Q8" s="21"/>
      <c r="R8" s="13"/>
      <c r="S8" s="22"/>
      <c r="T8" s="21"/>
      <c r="U8" s="13"/>
      <c r="V8" s="22"/>
      <c r="W8" s="21"/>
      <c r="X8" s="13"/>
      <c r="Y8" s="22"/>
      <c r="Z8" s="21"/>
      <c r="AA8" s="13"/>
      <c r="AB8" s="22"/>
      <c r="AC8" s="21"/>
      <c r="AD8" s="13"/>
      <c r="AE8" s="22"/>
      <c r="AF8" s="65"/>
      <c r="AG8" s="65"/>
      <c r="AH8" s="65"/>
      <c r="AI8" s="65"/>
      <c r="AJ8" s="65"/>
      <c r="AK8" s="65"/>
      <c r="AL8" s="65"/>
      <c r="AM8" s="68">
        <v>28.83</v>
      </c>
      <c r="AN8" s="65"/>
      <c r="AO8" s="67">
        <f t="shared" si="3"/>
        <v>0.888487047915689</v>
      </c>
      <c r="AP8" s="19"/>
      <c r="AQ8" s="19"/>
      <c r="AR8" s="19"/>
      <c r="AS8" s="19"/>
      <c r="AT8" s="19"/>
      <c r="AU8" s="66"/>
      <c r="AV8" s="66"/>
      <c r="AW8" s="66"/>
      <c r="AX8" s="66"/>
      <c r="AY8" s="67">
        <f t="shared" si="4"/>
        <v>0.7628952120475252</v>
      </c>
      <c r="AZ8" s="19"/>
      <c r="BA8" s="19"/>
      <c r="BB8" s="19"/>
      <c r="BC8" s="19"/>
      <c r="BD8" s="19"/>
      <c r="BE8" s="66"/>
      <c r="BF8" s="66"/>
      <c r="BG8" s="66"/>
      <c r="BH8" s="66"/>
    </row>
    <row r="9" spans="1:60" s="64" customFormat="1" ht="15">
      <c r="A9" s="71">
        <v>2020</v>
      </c>
      <c r="B9" s="15">
        <v>5</v>
      </c>
      <c r="C9" s="70">
        <f>ROUNDDOWN($C$4*1.05^(A9-A$4),0)</f>
        <v>14434</v>
      </c>
      <c r="D9" s="22">
        <f t="shared" si="1"/>
        <v>0</v>
      </c>
      <c r="E9" s="51">
        <f t="shared" si="2"/>
        <v>-6783.98</v>
      </c>
      <c r="F9" s="52">
        <f t="shared" si="0"/>
        <v>0</v>
      </c>
      <c r="Q9" s="21"/>
      <c r="R9" s="13"/>
      <c r="S9" s="22"/>
      <c r="T9" s="21"/>
      <c r="U9" s="13"/>
      <c r="V9" s="22"/>
      <c r="W9" s="21"/>
      <c r="X9" s="13"/>
      <c r="Y9" s="22"/>
      <c r="Z9" s="21"/>
      <c r="AA9" s="13"/>
      <c r="AB9" s="22"/>
      <c r="AC9" s="21"/>
      <c r="AD9" s="13"/>
      <c r="AE9" s="22"/>
      <c r="AF9" s="65"/>
      <c r="AG9" s="65"/>
      <c r="AH9" s="65"/>
      <c r="AI9" s="65"/>
      <c r="AJ9" s="65"/>
      <c r="AK9" s="65"/>
      <c r="AL9" s="65"/>
      <c r="AM9" s="68">
        <v>29.4</v>
      </c>
      <c r="AN9" s="65"/>
      <c r="AO9" s="67">
        <f t="shared" si="3"/>
        <v>0.8626087843841641</v>
      </c>
      <c r="AP9" s="19"/>
      <c r="AQ9" s="19"/>
      <c r="AR9" s="19"/>
      <c r="AS9" s="19"/>
      <c r="AT9" s="19"/>
      <c r="AU9" s="66"/>
      <c r="AV9" s="66"/>
      <c r="AW9" s="66"/>
      <c r="AX9" s="66"/>
      <c r="AY9" s="67">
        <f t="shared" si="4"/>
        <v>0.7129861794836684</v>
      </c>
      <c r="AZ9" s="19"/>
      <c r="BA9" s="19"/>
      <c r="BB9" s="19"/>
      <c r="BC9" s="19"/>
      <c r="BD9" s="19"/>
      <c r="BE9" s="66"/>
      <c r="BF9" s="66"/>
      <c r="BG9" s="66"/>
      <c r="BH9" s="66"/>
    </row>
    <row r="10" spans="1:60" s="9" customFormat="1" ht="15">
      <c r="A10" s="72">
        <v>2021</v>
      </c>
      <c r="B10" s="200">
        <v>6</v>
      </c>
      <c r="C10" s="70">
        <f>ROUNDDOWN($C$9*1.01^(A10-A$9),0)</f>
        <v>14578</v>
      </c>
      <c r="D10" s="22">
        <f t="shared" si="1"/>
        <v>0</v>
      </c>
      <c r="E10" s="51">
        <f t="shared" si="2"/>
        <v>-6851.66</v>
      </c>
      <c r="F10" s="52">
        <f t="shared" si="0"/>
        <v>0</v>
      </c>
      <c r="G10" s="120">
        <f>'VMT Multipliers'!W$21</f>
        <v>0.14312195121951218</v>
      </c>
      <c r="H10" s="120">
        <f>'VMT Multipliers'!X$21</f>
        <v>0.25066787456445994</v>
      </c>
      <c r="I10" s="120">
        <f>'VMT Multipliers'!Y$21</f>
        <v>0.015675261324041814</v>
      </c>
      <c r="J10" s="120">
        <f>'VMT Multipliers'!Z$21</f>
        <v>0.061201672473867604</v>
      </c>
      <c r="K10" s="120">
        <f>'VMT Multipliers'!AA$21</f>
        <v>0.03748432055749129</v>
      </c>
      <c r="L10" s="118">
        <f>'VMT Multipliers'!W$20</f>
        <v>0.0013630662020905925</v>
      </c>
      <c r="M10" s="118">
        <f>'VMT Multipliers'!X$20</f>
        <v>0.10495609756097561</v>
      </c>
      <c r="N10" s="118">
        <f>'VMT Multipliers'!Y$20</f>
        <v>0.01622048780487805</v>
      </c>
      <c r="O10" s="118">
        <f>'VMT Multipliers'!Z$20</f>
        <v>0.01812878048780488</v>
      </c>
      <c r="P10" s="118">
        <f>'VMT Multipliers'!AA$20</f>
        <v>0.0012267595818815332</v>
      </c>
      <c r="Q10" s="23">
        <f>E10*G10</f>
        <v>-980.6229482926828</v>
      </c>
      <c r="R10" s="24">
        <f>F10*L10</f>
        <v>0</v>
      </c>
      <c r="S10" s="25">
        <f>SUM(Q10:R10)</f>
        <v>-980.6229482926828</v>
      </c>
      <c r="T10" s="23">
        <f>E10*H10</f>
        <v>-1717.4910494383275</v>
      </c>
      <c r="U10" s="24">
        <f>F10*M10</f>
        <v>0</v>
      </c>
      <c r="V10" s="25">
        <f>SUM(T10:U10)</f>
        <v>-1717.4910494383275</v>
      </c>
      <c r="W10" s="23">
        <f>E10*I10</f>
        <v>-107.40156100348433</v>
      </c>
      <c r="X10" s="24">
        <f>F10*N10</f>
        <v>0</v>
      </c>
      <c r="Y10" s="25">
        <f>SUM(W10:X10)</f>
        <v>-107.40156100348433</v>
      </c>
      <c r="Z10" s="23">
        <f>E10*J10</f>
        <v>-419.3330512222997</v>
      </c>
      <c r="AA10" s="24">
        <f>F10*O10</f>
        <v>0</v>
      </c>
      <c r="AB10" s="25">
        <f>SUM(Z10:AA10)</f>
        <v>-419.3330512222997</v>
      </c>
      <c r="AC10" s="23">
        <f>E10*K10</f>
        <v>-256.82981979094075</v>
      </c>
      <c r="AD10" s="24">
        <f>F10*P10</f>
        <v>0</v>
      </c>
      <c r="AE10" s="25">
        <f>SUM(AC10:AD10)</f>
        <v>-256.82981979094075</v>
      </c>
      <c r="AF10" s="20">
        <f aca="true" t="shared" si="5" ref="AF10:AF34">E10/$AE$38</f>
        <v>-1105.1064516129031</v>
      </c>
      <c r="AG10" s="20">
        <f aca="true" t="shared" si="6" ref="AG10:AG34">F10/$AE$39</f>
        <v>0</v>
      </c>
      <c r="AH10" s="29">
        <f aca="true" t="shared" si="7" ref="AH10:AH34">(AF10+AG10)*$AE$40</f>
        <v>-2276.5192903225807</v>
      </c>
      <c r="AI10" s="29">
        <f aca="true" t="shared" si="8" ref="AI10:AI34">-1*AF10*$AH$38</f>
        <v>269.64597419354834</v>
      </c>
      <c r="AJ10" s="29">
        <f aca="true" t="shared" si="9" ref="AJ10:AJ34">-1*AG10*$AH$39</f>
        <v>0</v>
      </c>
      <c r="AK10" s="33">
        <f aca="true" t="shared" si="10" ref="AK10:AK34">(E10)*$AK$38</f>
        <v>-102774.9</v>
      </c>
      <c r="AL10" s="32">
        <f aca="true" t="shared" si="11" ref="AL10:AL34">$AK$39*AK10/1000000</f>
        <v>-7.359710589</v>
      </c>
      <c r="AM10" s="68">
        <v>29.97</v>
      </c>
      <c r="AN10" s="29">
        <f>AL10*AM10</f>
        <v>-220.57052635232998</v>
      </c>
      <c r="AO10" s="67">
        <f t="shared" si="3"/>
        <v>0.8374842566836544</v>
      </c>
      <c r="AP10" s="30">
        <f aca="true" t="shared" si="12" ref="AP10:AP34">AO10*S10</f>
        <v>-821.2562809378312</v>
      </c>
      <c r="AQ10" s="30">
        <f aca="true" t="shared" si="13" ref="AQ10:AQ34">AO10*V10</f>
        <v>-1438.3717148996873</v>
      </c>
      <c r="AR10" s="30">
        <f aca="true" t="shared" si="14" ref="AR10:AR34">AO10*Y10</f>
        <v>-89.94711648366724</v>
      </c>
      <c r="AS10" s="30">
        <f aca="true" t="shared" si="15" ref="AS10:AS34">AO10*AB10</f>
        <v>-351.18482870579646</v>
      </c>
      <c r="AT10" s="30">
        <f aca="true" t="shared" si="16" ref="AT10:AT34">AO10*AE10</f>
        <v>-215.09093072181292</v>
      </c>
      <c r="AU10" s="30">
        <f>AH10*AO10</f>
        <v>-1906.549065681807</v>
      </c>
      <c r="AV10" s="30">
        <f>AI10*AO10</f>
        <v>225.8242582652237</v>
      </c>
      <c r="AW10" s="30">
        <f>AJ10*AO10</f>
        <v>0</v>
      </c>
      <c r="AX10" s="30">
        <f>AN10*AO10</f>
        <v>-184.72434330850348</v>
      </c>
      <c r="AY10" s="67">
        <f t="shared" si="4"/>
        <v>0.6663422238165125</v>
      </c>
      <c r="AZ10" s="30">
        <f aca="true" t="shared" si="17" ref="AZ10:AZ34">AY10*S10</f>
        <v>-653.4304760908512</v>
      </c>
      <c r="BA10" s="30">
        <f aca="true" t="shared" si="18" ref="BA10:BA34">AY10*V10</f>
        <v>-1144.436805267691</v>
      </c>
      <c r="BB10" s="30">
        <f aca="true" t="shared" si="19" ref="BB10:BB34">AY10*Y10</f>
        <v>-71.56619500042657</v>
      </c>
      <c r="BC10" s="30">
        <f aca="true" t="shared" si="20" ref="BC10:BC34">AY10*AB10</f>
        <v>-279.4193178712307</v>
      </c>
      <c r="BD10" s="30">
        <f aca="true" t="shared" si="21" ref="BD10:BD34">AY10*AE10</f>
        <v>-171.13655326188962</v>
      </c>
      <c r="BE10" s="30">
        <f>AH10*AY10</f>
        <v>-1516.9409264747374</v>
      </c>
      <c r="BF10" s="30">
        <f>AI10*AY10</f>
        <v>179.67649808729894</v>
      </c>
      <c r="BG10" s="30">
        <f>AJ10*AY10</f>
        <v>0</v>
      </c>
      <c r="BH10" s="30">
        <f>AN10*AY10</f>
        <v>-146.97545503799023</v>
      </c>
    </row>
    <row r="11" spans="1:60" s="9" customFormat="1" ht="15">
      <c r="A11" s="71">
        <v>2022</v>
      </c>
      <c r="B11" s="15">
        <v>7</v>
      </c>
      <c r="C11" s="70">
        <f aca="true" t="shared" si="22" ref="C11:C34">ROUNDDOWN($C$9*1.01^(A11-A$9),0)</f>
        <v>14724</v>
      </c>
      <c r="D11" s="22">
        <f t="shared" si="1"/>
        <v>0</v>
      </c>
      <c r="E11" s="51">
        <f t="shared" si="2"/>
        <v>-6920.28</v>
      </c>
      <c r="F11" s="48">
        <f aca="true" t="shared" si="23" ref="F11:F34">5.05*D11</f>
        <v>0</v>
      </c>
      <c r="G11" s="120">
        <f>'VMT Multipliers'!W$21</f>
        <v>0.14312195121951218</v>
      </c>
      <c r="H11" s="120">
        <f>'VMT Multipliers'!X$21</f>
        <v>0.25066787456445994</v>
      </c>
      <c r="I11" s="120">
        <f>'VMT Multipliers'!Y$21</f>
        <v>0.015675261324041814</v>
      </c>
      <c r="J11" s="120">
        <f>'VMT Multipliers'!Z$21</f>
        <v>0.061201672473867604</v>
      </c>
      <c r="K11" s="120">
        <f>'VMT Multipliers'!AA$21</f>
        <v>0.03748432055749129</v>
      </c>
      <c r="L11" s="118">
        <f>'VMT Multipliers'!W$20</f>
        <v>0.0013630662020905925</v>
      </c>
      <c r="M11" s="118">
        <f>'VMT Multipliers'!X$20</f>
        <v>0.10495609756097561</v>
      </c>
      <c r="N11" s="118">
        <f>'VMT Multipliers'!Y$20</f>
        <v>0.01622048780487805</v>
      </c>
      <c r="O11" s="118">
        <f>'VMT Multipliers'!Z$20</f>
        <v>0.01812878048780488</v>
      </c>
      <c r="P11" s="118">
        <f>'VMT Multipliers'!AA$20</f>
        <v>0.0012267595818815332</v>
      </c>
      <c r="Q11" s="26">
        <f aca="true" t="shared" si="24" ref="Q11:Q34">E11*G11</f>
        <v>-990.4439765853657</v>
      </c>
      <c r="R11" s="27">
        <f aca="true" t="shared" si="25" ref="R11:R34">F11*L11</f>
        <v>0</v>
      </c>
      <c r="S11" s="28">
        <f aca="true" t="shared" si="26" ref="S11:S34">SUM(Q11:R11)</f>
        <v>-990.4439765853657</v>
      </c>
      <c r="T11" s="26">
        <f aca="true" t="shared" si="27" ref="T11:T34">E11*H11</f>
        <v>-1734.6918789909407</v>
      </c>
      <c r="U11" s="27">
        <f aca="true" t="shared" si="28" ref="U11:U34">F11*M11</f>
        <v>0</v>
      </c>
      <c r="V11" s="28">
        <f aca="true" t="shared" si="29" ref="V11:V34">SUM(T11:U11)</f>
        <v>-1734.6918789909407</v>
      </c>
      <c r="W11" s="26">
        <f aca="true" t="shared" si="30" ref="W11:W34">E11*I11</f>
        <v>-108.47719743554008</v>
      </c>
      <c r="X11" s="27">
        <f aca="true" t="shared" si="31" ref="X11:X34">F11*N11</f>
        <v>0</v>
      </c>
      <c r="Y11" s="28">
        <f aca="true" t="shared" si="32" ref="Y11:Y34">SUM(W11:X11)</f>
        <v>-108.47719743554008</v>
      </c>
      <c r="Z11" s="26">
        <f aca="true" t="shared" si="33" ref="Z11:Z34">E11*J11</f>
        <v>-423.5327099874565</v>
      </c>
      <c r="AA11" s="27">
        <f aca="true" t="shared" si="34" ref="AA11:AA34">F11*O11</f>
        <v>0</v>
      </c>
      <c r="AB11" s="28">
        <f aca="true" t="shared" si="35" ref="AB11:AB34">SUM(Z11:AA11)</f>
        <v>-423.5327099874565</v>
      </c>
      <c r="AC11" s="26">
        <f aca="true" t="shared" si="36" ref="AC11:AC34">E11*K11</f>
        <v>-259.4019938675958</v>
      </c>
      <c r="AD11" s="27">
        <f aca="true" t="shared" si="37" ref="AD11:AD34">F11*P11</f>
        <v>0</v>
      </c>
      <c r="AE11" s="28">
        <f aca="true" t="shared" si="38" ref="AE11:AE34">SUM(AC11:AD11)</f>
        <v>-259.4019938675958</v>
      </c>
      <c r="AF11" s="20">
        <f t="shared" si="5"/>
        <v>-1116.174193548387</v>
      </c>
      <c r="AG11" s="20">
        <f t="shared" si="6"/>
        <v>0</v>
      </c>
      <c r="AH11" s="29">
        <f t="shared" si="7"/>
        <v>-2299.318838709677</v>
      </c>
      <c r="AI11" s="29">
        <f t="shared" si="8"/>
        <v>272.34650322580643</v>
      </c>
      <c r="AJ11" s="29">
        <f t="shared" si="9"/>
        <v>0</v>
      </c>
      <c r="AK11" s="33">
        <f t="shared" si="10"/>
        <v>-103804.2</v>
      </c>
      <c r="AL11" s="32">
        <f t="shared" si="11"/>
        <v>-7.4334187620000005</v>
      </c>
      <c r="AM11" s="68">
        <v>30.54</v>
      </c>
      <c r="AN11" s="29">
        <f aca="true" t="shared" si="39" ref="AN11:AN34">AL11*AM11</f>
        <v>-227.01660899148</v>
      </c>
      <c r="AO11" s="67">
        <f t="shared" si="3"/>
        <v>0.8130915113433538</v>
      </c>
      <c r="AP11" s="31">
        <f t="shared" si="12"/>
        <v>-805.3215898227163</v>
      </c>
      <c r="AQ11" s="31">
        <f t="shared" si="13"/>
        <v>-1410.4632416037862</v>
      </c>
      <c r="AR11" s="31">
        <f t="shared" si="14"/>
        <v>-88.20188840915466</v>
      </c>
      <c r="AS11" s="31">
        <f t="shared" si="15"/>
        <v>-344.3708512670473</v>
      </c>
      <c r="AT11" s="31">
        <f t="shared" si="16"/>
        <v>-210.91755923928287</v>
      </c>
      <c r="AU11" s="30">
        <f aca="true" t="shared" si="40" ref="AU11:AU34">AH11*AO11</f>
        <v>-1869.5566296266963</v>
      </c>
      <c r="AV11" s="30">
        <f aca="true" t="shared" si="41" ref="AV11:AV34">AI11*AO11</f>
        <v>221.44262991694853</v>
      </c>
      <c r="AW11" s="30">
        <f aca="true" t="shared" si="42" ref="AW11:AW34">AJ11*AO11</f>
        <v>0</v>
      </c>
      <c r="AX11" s="30">
        <f aca="true" t="shared" si="43" ref="AX11:AX34">AN11*AO11</f>
        <v>-184.5852777049257</v>
      </c>
      <c r="AY11" s="67">
        <f t="shared" si="4"/>
        <v>0.6227497418845911</v>
      </c>
      <c r="AZ11" s="31">
        <f t="shared" si="17"/>
        <v>-616.7987307696844</v>
      </c>
      <c r="BA11" s="31">
        <f t="shared" si="18"/>
        <v>-1080.2789198909047</v>
      </c>
      <c r="BB11" s="31">
        <f t="shared" si="19"/>
        <v>-67.5541467033464</v>
      </c>
      <c r="BC11" s="31">
        <f t="shared" si="20"/>
        <v>-263.7548858243699</v>
      </c>
      <c r="BD11" s="31">
        <f t="shared" si="21"/>
        <v>-161.54252472539358</v>
      </c>
      <c r="BE11" s="30">
        <f aca="true" t="shared" si="44" ref="BE11:BE34">AH11*AY11</f>
        <v>-1431.9002133168292</v>
      </c>
      <c r="BF11" s="30">
        <f aca="true" t="shared" si="45" ref="BF11:BF34">AI11*AY11</f>
        <v>169.6037145870419</v>
      </c>
      <c r="BG11" s="30">
        <f aca="true" t="shared" si="46" ref="BG11:BG34">AJ11*AY11</f>
        <v>0</v>
      </c>
      <c r="BH11" s="30">
        <f aca="true" t="shared" si="47" ref="BH11:BH34">AN11*AY11</f>
        <v>-141.3745346529593</v>
      </c>
    </row>
    <row r="12" spans="1:60" s="9" customFormat="1" ht="15">
      <c r="A12" s="72">
        <v>2023</v>
      </c>
      <c r="B12" s="200">
        <v>8</v>
      </c>
      <c r="C12" s="70">
        <f t="shared" si="22"/>
        <v>14871</v>
      </c>
      <c r="D12" s="22">
        <f t="shared" si="1"/>
        <v>0</v>
      </c>
      <c r="E12" s="51">
        <f t="shared" si="2"/>
        <v>-6989.37</v>
      </c>
      <c r="F12" s="48">
        <f t="shared" si="23"/>
        <v>0</v>
      </c>
      <c r="G12" s="120">
        <f>'VMT Multipliers'!W$21</f>
        <v>0.14312195121951218</v>
      </c>
      <c r="H12" s="120">
        <f>'VMT Multipliers'!X$21</f>
        <v>0.25066787456445994</v>
      </c>
      <c r="I12" s="120">
        <f>'VMT Multipliers'!Y$21</f>
        <v>0.015675261324041814</v>
      </c>
      <c r="J12" s="120">
        <f>'VMT Multipliers'!Z$21</f>
        <v>0.061201672473867604</v>
      </c>
      <c r="K12" s="120">
        <f>'VMT Multipliers'!AA$21</f>
        <v>0.03748432055749129</v>
      </c>
      <c r="L12" s="118">
        <f>'VMT Multipliers'!W$20</f>
        <v>0.0013630662020905925</v>
      </c>
      <c r="M12" s="118">
        <f>'VMT Multipliers'!X$20</f>
        <v>0.10495609756097561</v>
      </c>
      <c r="N12" s="118">
        <f>'VMT Multipliers'!Y$20</f>
        <v>0.01622048780487805</v>
      </c>
      <c r="O12" s="118">
        <f>'VMT Multipliers'!Z$20</f>
        <v>0.01812878048780488</v>
      </c>
      <c r="P12" s="118">
        <f>'VMT Multipliers'!AA$20</f>
        <v>0.0012267595818815332</v>
      </c>
      <c r="Q12" s="26">
        <f t="shared" si="24"/>
        <v>-1000.3322721951218</v>
      </c>
      <c r="R12" s="27">
        <f t="shared" si="25"/>
        <v>0</v>
      </c>
      <c r="S12" s="28">
        <f t="shared" si="26"/>
        <v>-1000.3322721951218</v>
      </c>
      <c r="T12" s="26">
        <f t="shared" si="27"/>
        <v>-1752.0105224445992</v>
      </c>
      <c r="U12" s="27">
        <f t="shared" si="28"/>
        <v>0</v>
      </c>
      <c r="V12" s="28">
        <f t="shared" si="29"/>
        <v>-1752.0105224445992</v>
      </c>
      <c r="W12" s="26">
        <f t="shared" si="30"/>
        <v>-109.56020124041812</v>
      </c>
      <c r="X12" s="27">
        <f t="shared" si="31"/>
        <v>0</v>
      </c>
      <c r="Y12" s="28">
        <f t="shared" si="32"/>
        <v>-109.56020124041812</v>
      </c>
      <c r="Z12" s="26">
        <f t="shared" si="33"/>
        <v>-427.761133538676</v>
      </c>
      <c r="AA12" s="27">
        <f t="shared" si="34"/>
        <v>0</v>
      </c>
      <c r="AB12" s="28">
        <f t="shared" si="35"/>
        <v>-427.761133538676</v>
      </c>
      <c r="AC12" s="26">
        <f t="shared" si="36"/>
        <v>-261.9917855749129</v>
      </c>
      <c r="AD12" s="27">
        <f t="shared" si="37"/>
        <v>0</v>
      </c>
      <c r="AE12" s="28">
        <f t="shared" si="38"/>
        <v>-261.9917855749129</v>
      </c>
      <c r="AF12" s="20">
        <f t="shared" si="5"/>
        <v>-1127.3177419354838</v>
      </c>
      <c r="AG12" s="20">
        <f t="shared" si="6"/>
        <v>0</v>
      </c>
      <c r="AH12" s="29">
        <f t="shared" si="7"/>
        <v>-2322.2745483870967</v>
      </c>
      <c r="AI12" s="29">
        <f t="shared" si="8"/>
        <v>275.06552903225804</v>
      </c>
      <c r="AJ12" s="29">
        <f t="shared" si="9"/>
        <v>0</v>
      </c>
      <c r="AK12" s="33">
        <f t="shared" si="10"/>
        <v>-104840.55</v>
      </c>
      <c r="AL12" s="32">
        <f t="shared" si="11"/>
        <v>-7.5076317855</v>
      </c>
      <c r="AM12" s="68">
        <v>31.11</v>
      </c>
      <c r="AN12" s="29">
        <f t="shared" si="39"/>
        <v>-233.562424846905</v>
      </c>
      <c r="AO12" s="67">
        <f t="shared" si="3"/>
        <v>0.7894092343139357</v>
      </c>
      <c r="AP12" s="31">
        <f t="shared" si="12"/>
        <v>-789.6715330530707</v>
      </c>
      <c r="AQ12" s="31">
        <f t="shared" si="13"/>
        <v>-1383.0532850329496</v>
      </c>
      <c r="AR12" s="31">
        <f t="shared" si="14"/>
        <v>-86.48783457247919</v>
      </c>
      <c r="AS12" s="31">
        <f t="shared" si="15"/>
        <v>-337.67858889602746</v>
      </c>
      <c r="AT12" s="31">
        <f t="shared" si="16"/>
        <v>-206.81873484723283</v>
      </c>
      <c r="AU12" s="30">
        <f t="shared" si="40"/>
        <v>-1833.224973108999</v>
      </c>
      <c r="AV12" s="30">
        <f t="shared" si="41"/>
        <v>217.13926865951248</v>
      </c>
      <c r="AW12" s="30">
        <f t="shared" si="42"/>
        <v>0</v>
      </c>
      <c r="AX12" s="30">
        <f t="shared" si="43"/>
        <v>-184.37633496290144</v>
      </c>
      <c r="AY12" s="67">
        <f t="shared" si="4"/>
        <v>0.5820091045650384</v>
      </c>
      <c r="AZ12" s="31">
        <f t="shared" si="17"/>
        <v>-582.2024900077931</v>
      </c>
      <c r="BA12" s="31">
        <f t="shared" si="18"/>
        <v>-1019.6860753565063</v>
      </c>
      <c r="BB12" s="31">
        <f t="shared" si="19"/>
        <v>-63.765034619901165</v>
      </c>
      <c r="BC12" s="31">
        <f t="shared" si="20"/>
        <v>-248.96087429857064</v>
      </c>
      <c r="BD12" s="31">
        <f t="shared" si="21"/>
        <v>-152.4816045258506</v>
      </c>
      <c r="BE12" s="30">
        <f t="shared" si="44"/>
        <v>-1351.584930460953</v>
      </c>
      <c r="BF12" s="30">
        <f t="shared" si="45"/>
        <v>160.09064224877307</v>
      </c>
      <c r="BG12" s="30">
        <f t="shared" si="46"/>
        <v>0</v>
      </c>
      <c r="BH12" s="30">
        <f t="shared" si="47"/>
        <v>-135.93545774518626</v>
      </c>
    </row>
    <row r="13" spans="1:60" s="9" customFormat="1" ht="15">
      <c r="A13" s="71">
        <v>2024</v>
      </c>
      <c r="B13" s="15">
        <v>9</v>
      </c>
      <c r="C13" s="70">
        <f t="shared" si="22"/>
        <v>15020</v>
      </c>
      <c r="D13" s="22">
        <f t="shared" si="1"/>
        <v>0</v>
      </c>
      <c r="E13" s="51">
        <f t="shared" si="2"/>
        <v>-7059.4</v>
      </c>
      <c r="F13" s="48">
        <f t="shared" si="23"/>
        <v>0</v>
      </c>
      <c r="G13" s="120">
        <f>'VMT Multipliers'!W$21</f>
        <v>0.14312195121951218</v>
      </c>
      <c r="H13" s="120">
        <f>'VMT Multipliers'!X$21</f>
        <v>0.25066787456445994</v>
      </c>
      <c r="I13" s="120">
        <f>'VMT Multipliers'!Y$21</f>
        <v>0.015675261324041814</v>
      </c>
      <c r="J13" s="120">
        <f>'VMT Multipliers'!Z$21</f>
        <v>0.061201672473867604</v>
      </c>
      <c r="K13" s="120">
        <f>'VMT Multipliers'!AA$21</f>
        <v>0.03748432055749129</v>
      </c>
      <c r="L13" s="118">
        <f>'VMT Multipliers'!W$20</f>
        <v>0.0013630662020905925</v>
      </c>
      <c r="M13" s="118">
        <f>'VMT Multipliers'!X$20</f>
        <v>0.10495609756097561</v>
      </c>
      <c r="N13" s="118">
        <f>'VMT Multipliers'!Y$20</f>
        <v>0.01622048780487805</v>
      </c>
      <c r="O13" s="118">
        <f>'VMT Multipliers'!Z$20</f>
        <v>0.01812878048780488</v>
      </c>
      <c r="P13" s="118">
        <f>'VMT Multipliers'!AA$20</f>
        <v>0.0012267595818815332</v>
      </c>
      <c r="Q13" s="26">
        <f t="shared" si="24"/>
        <v>-1010.3551024390242</v>
      </c>
      <c r="R13" s="27">
        <f t="shared" si="25"/>
        <v>0</v>
      </c>
      <c r="S13" s="28">
        <f t="shared" si="26"/>
        <v>-1010.3551024390242</v>
      </c>
      <c r="T13" s="26">
        <f t="shared" si="27"/>
        <v>-1769.5647937003484</v>
      </c>
      <c r="U13" s="27">
        <f t="shared" si="28"/>
        <v>0</v>
      </c>
      <c r="V13" s="28">
        <f t="shared" si="29"/>
        <v>-1769.5647937003484</v>
      </c>
      <c r="W13" s="26">
        <f t="shared" si="30"/>
        <v>-110.65793979094077</v>
      </c>
      <c r="X13" s="27">
        <f t="shared" si="31"/>
        <v>0</v>
      </c>
      <c r="Y13" s="28">
        <f t="shared" si="32"/>
        <v>-110.65793979094077</v>
      </c>
      <c r="Z13" s="26">
        <f t="shared" si="33"/>
        <v>-432.04708666202094</v>
      </c>
      <c r="AA13" s="27">
        <f t="shared" si="34"/>
        <v>0</v>
      </c>
      <c r="AB13" s="28">
        <f t="shared" si="35"/>
        <v>-432.04708666202094</v>
      </c>
      <c r="AC13" s="26">
        <f t="shared" si="36"/>
        <v>-264.616812543554</v>
      </c>
      <c r="AD13" s="27">
        <f t="shared" si="37"/>
        <v>0</v>
      </c>
      <c r="AE13" s="28">
        <f t="shared" si="38"/>
        <v>-264.616812543554</v>
      </c>
      <c r="AF13" s="20">
        <f t="shared" si="5"/>
        <v>-1138.6129032258063</v>
      </c>
      <c r="AG13" s="20">
        <f t="shared" si="6"/>
        <v>0</v>
      </c>
      <c r="AH13" s="29">
        <f t="shared" si="7"/>
        <v>-2345.5425806451613</v>
      </c>
      <c r="AI13" s="29">
        <f t="shared" si="8"/>
        <v>277.82154838709675</v>
      </c>
      <c r="AJ13" s="29">
        <f t="shared" si="9"/>
        <v>0</v>
      </c>
      <c r="AK13" s="33">
        <f t="shared" si="10"/>
        <v>-105891</v>
      </c>
      <c r="AL13" s="32">
        <f t="shared" si="11"/>
        <v>-7.58285451</v>
      </c>
      <c r="AM13" s="68">
        <v>31.68</v>
      </c>
      <c r="AN13" s="29">
        <f t="shared" si="39"/>
        <v>-240.22483087679998</v>
      </c>
      <c r="AO13" s="67">
        <f t="shared" si="3"/>
        <v>0.766416732343627</v>
      </c>
      <c r="AP13" s="31">
        <f t="shared" si="12"/>
        <v>-774.3530561180274</v>
      </c>
      <c r="AQ13" s="31">
        <f t="shared" si="13"/>
        <v>-1356.2240668581453</v>
      </c>
      <c r="AR13" s="31">
        <f t="shared" si="14"/>
        <v>-84.81009662245064</v>
      </c>
      <c r="AS13" s="31">
        <f t="shared" si="15"/>
        <v>-331.1281163780899</v>
      </c>
      <c r="AT13" s="31">
        <f t="shared" si="16"/>
        <v>-202.80675279281672</v>
      </c>
      <c r="AU13" s="30">
        <f t="shared" si="40"/>
        <v>-1797.6630802309026</v>
      </c>
      <c r="AV13" s="30">
        <f t="shared" si="41"/>
        <v>212.92708328948552</v>
      </c>
      <c r="AW13" s="30">
        <f t="shared" si="42"/>
        <v>0</v>
      </c>
      <c r="AX13" s="30">
        <f t="shared" si="43"/>
        <v>-184.11232990839747</v>
      </c>
      <c r="AY13" s="67">
        <f t="shared" si="4"/>
        <v>0.5439337425841481</v>
      </c>
      <c r="AZ13" s="31">
        <f t="shared" si="17"/>
        <v>-549.5662322086488</v>
      </c>
      <c r="BA13" s="31">
        <f t="shared" si="18"/>
        <v>-962.5260009825764</v>
      </c>
      <c r="BB13" s="31">
        <f t="shared" si="19"/>
        <v>-60.190587337137735</v>
      </c>
      <c r="BC13" s="31">
        <f t="shared" si="20"/>
        <v>-235.00498882065082</v>
      </c>
      <c r="BD13" s="31">
        <f t="shared" si="21"/>
        <v>-143.93401319750325</v>
      </c>
      <c r="BE13" s="30">
        <f t="shared" si="44"/>
        <v>-1275.8197542808034</v>
      </c>
      <c r="BF13" s="30">
        <f t="shared" si="45"/>
        <v>151.11651458471653</v>
      </c>
      <c r="BG13" s="30">
        <f t="shared" si="46"/>
        <v>0</v>
      </c>
      <c r="BH13" s="30">
        <f t="shared" si="47"/>
        <v>-130.66639132046183</v>
      </c>
    </row>
    <row r="14" spans="1:60" s="9" customFormat="1" ht="15">
      <c r="A14" s="72">
        <v>2025</v>
      </c>
      <c r="B14" s="200">
        <v>10</v>
      </c>
      <c r="C14" s="70">
        <f t="shared" si="22"/>
        <v>15170</v>
      </c>
      <c r="D14" s="22">
        <f t="shared" si="1"/>
        <v>0</v>
      </c>
      <c r="E14" s="51">
        <f t="shared" si="2"/>
        <v>-7129.9</v>
      </c>
      <c r="F14" s="48">
        <f t="shared" si="23"/>
        <v>0</v>
      </c>
      <c r="G14" s="120">
        <f>'VMT Multipliers'!W$21</f>
        <v>0.14312195121951218</v>
      </c>
      <c r="H14" s="120">
        <f>'VMT Multipliers'!X$21</f>
        <v>0.25066787456445994</v>
      </c>
      <c r="I14" s="120">
        <f>'VMT Multipliers'!Y$21</f>
        <v>0.015675261324041814</v>
      </c>
      <c r="J14" s="120">
        <f>'VMT Multipliers'!Z$21</f>
        <v>0.061201672473867604</v>
      </c>
      <c r="K14" s="120">
        <f>'VMT Multipliers'!AA$21</f>
        <v>0.03748432055749129</v>
      </c>
      <c r="L14" s="118">
        <f>'VMT Multipliers'!W$20</f>
        <v>0.0013630662020905925</v>
      </c>
      <c r="M14" s="118">
        <f>'VMT Multipliers'!X$20</f>
        <v>0.10495609756097561</v>
      </c>
      <c r="N14" s="118">
        <f>'VMT Multipliers'!Y$20</f>
        <v>0.01622048780487805</v>
      </c>
      <c r="O14" s="118">
        <f>'VMT Multipliers'!Z$20</f>
        <v>0.01812878048780488</v>
      </c>
      <c r="P14" s="118">
        <f>'VMT Multipliers'!AA$20</f>
        <v>0.0012267595818815332</v>
      </c>
      <c r="Q14" s="26">
        <f t="shared" si="24"/>
        <v>-1020.4451999999999</v>
      </c>
      <c r="R14" s="27">
        <f t="shared" si="25"/>
        <v>0</v>
      </c>
      <c r="S14" s="28">
        <f t="shared" si="26"/>
        <v>-1020.4451999999999</v>
      </c>
      <c r="T14" s="26">
        <f t="shared" si="27"/>
        <v>-1787.2368788571428</v>
      </c>
      <c r="U14" s="27">
        <f t="shared" si="28"/>
        <v>0</v>
      </c>
      <c r="V14" s="28">
        <f t="shared" si="29"/>
        <v>-1787.2368788571428</v>
      </c>
      <c r="W14" s="26">
        <f t="shared" si="30"/>
        <v>-111.76304571428572</v>
      </c>
      <c r="X14" s="27">
        <f t="shared" si="31"/>
        <v>0</v>
      </c>
      <c r="Y14" s="28">
        <f t="shared" si="32"/>
        <v>-111.76304571428572</v>
      </c>
      <c r="Z14" s="26">
        <f t="shared" si="33"/>
        <v>-436.3618045714286</v>
      </c>
      <c r="AA14" s="27">
        <f t="shared" si="34"/>
        <v>0</v>
      </c>
      <c r="AB14" s="28">
        <f t="shared" si="35"/>
        <v>-436.3618045714286</v>
      </c>
      <c r="AC14" s="26">
        <f t="shared" si="36"/>
        <v>-267.2594571428571</v>
      </c>
      <c r="AD14" s="27">
        <f t="shared" si="37"/>
        <v>0</v>
      </c>
      <c r="AE14" s="28">
        <f t="shared" si="38"/>
        <v>-267.2594571428571</v>
      </c>
      <c r="AF14" s="20">
        <f t="shared" si="5"/>
        <v>-1149.983870967742</v>
      </c>
      <c r="AG14" s="20">
        <f t="shared" si="6"/>
        <v>0</v>
      </c>
      <c r="AH14" s="29">
        <f t="shared" si="7"/>
        <v>-2368.9667741935486</v>
      </c>
      <c r="AI14" s="29">
        <f t="shared" si="8"/>
        <v>280.59606451612905</v>
      </c>
      <c r="AJ14" s="29">
        <f t="shared" si="9"/>
        <v>0</v>
      </c>
      <c r="AK14" s="33">
        <f t="shared" si="10"/>
        <v>-106948.5</v>
      </c>
      <c r="AL14" s="32">
        <f t="shared" si="11"/>
        <v>-7.658582085</v>
      </c>
      <c r="AM14" s="68">
        <v>32.25</v>
      </c>
      <c r="AN14" s="29">
        <f t="shared" si="39"/>
        <v>-246.98927224125</v>
      </c>
      <c r="AO14" s="67">
        <f t="shared" si="3"/>
        <v>0.7440939148967252</v>
      </c>
      <c r="AP14" s="31">
        <f t="shared" si="12"/>
        <v>-759.3070638055716</v>
      </c>
      <c r="AQ14" s="31">
        <f t="shared" si="13"/>
        <v>-1329.8720860366154</v>
      </c>
      <c r="AR14" s="31">
        <f t="shared" si="14"/>
        <v>-83.16220222632452</v>
      </c>
      <c r="AS14" s="31">
        <f t="shared" si="15"/>
        <v>-324.694163474954</v>
      </c>
      <c r="AT14" s="31">
        <f t="shared" si="16"/>
        <v>-198.8661357586021</v>
      </c>
      <c r="AU14" s="30">
        <f t="shared" si="40"/>
        <v>-1762.733761269944</v>
      </c>
      <c r="AV14" s="30">
        <f t="shared" si="41"/>
        <v>208.78982415042054</v>
      </c>
      <c r="AW14" s="30">
        <f t="shared" si="42"/>
        <v>0</v>
      </c>
      <c r="AX14" s="30">
        <f t="shared" si="43"/>
        <v>-183.78321451948477</v>
      </c>
      <c r="AY14" s="67">
        <f t="shared" si="4"/>
        <v>0.5083492921347178</v>
      </c>
      <c r="AZ14" s="31">
        <f t="shared" si="17"/>
        <v>-518.7425950822704</v>
      </c>
      <c r="BA14" s="31">
        <f t="shared" si="18"/>
        <v>-908.5406022440909</v>
      </c>
      <c r="BB14" s="31">
        <f t="shared" si="19"/>
        <v>-56.814665175677256</v>
      </c>
      <c r="BC14" s="31">
        <f t="shared" si="20"/>
        <v>-221.8242144685138</v>
      </c>
      <c r="BD14" s="31">
        <f t="shared" si="21"/>
        <v>-135.86115585488037</v>
      </c>
      <c r="BE14" s="30">
        <f t="shared" si="44"/>
        <v>-1204.2625827519564</v>
      </c>
      <c r="BF14" s="30">
        <f t="shared" si="45"/>
        <v>142.64081077256182</v>
      </c>
      <c r="BG14" s="30">
        <f t="shared" si="46"/>
        <v>0</v>
      </c>
      <c r="BH14" s="30">
        <f t="shared" si="47"/>
        <v>-125.55682170870854</v>
      </c>
    </row>
    <row r="15" spans="1:60" s="9" customFormat="1" ht="15">
      <c r="A15" s="71">
        <v>2026</v>
      </c>
      <c r="B15" s="15">
        <v>11</v>
      </c>
      <c r="C15" s="70">
        <f t="shared" si="22"/>
        <v>15321</v>
      </c>
      <c r="D15" s="22">
        <f t="shared" si="1"/>
        <v>0</v>
      </c>
      <c r="E15" s="51">
        <f t="shared" si="2"/>
        <v>-7200.87</v>
      </c>
      <c r="F15" s="48">
        <f t="shared" si="23"/>
        <v>0</v>
      </c>
      <c r="G15" s="120">
        <f>'VMT Multipliers'!W$21</f>
        <v>0.14312195121951218</v>
      </c>
      <c r="H15" s="120">
        <f>'VMT Multipliers'!X$21</f>
        <v>0.25066787456445994</v>
      </c>
      <c r="I15" s="120">
        <f>'VMT Multipliers'!Y$21</f>
        <v>0.015675261324041814</v>
      </c>
      <c r="J15" s="120">
        <f>'VMT Multipliers'!Z$21</f>
        <v>0.061201672473867604</v>
      </c>
      <c r="K15" s="120">
        <f>'VMT Multipliers'!AA$21</f>
        <v>0.03748432055749129</v>
      </c>
      <c r="L15" s="118">
        <f>'VMT Multipliers'!W$20</f>
        <v>0.0013630662020905925</v>
      </c>
      <c r="M15" s="118">
        <f>'VMT Multipliers'!X$20</f>
        <v>0.10495609756097561</v>
      </c>
      <c r="N15" s="118">
        <f>'VMT Multipliers'!Y$20</f>
        <v>0.01622048780487805</v>
      </c>
      <c r="O15" s="118">
        <f>'VMT Multipliers'!Z$20</f>
        <v>0.01812878048780488</v>
      </c>
      <c r="P15" s="118">
        <f>'VMT Multipliers'!AA$20</f>
        <v>0.0012267595818815332</v>
      </c>
      <c r="Q15" s="26">
        <f t="shared" si="24"/>
        <v>-1030.6025648780487</v>
      </c>
      <c r="R15" s="27">
        <f t="shared" si="25"/>
        <v>0</v>
      </c>
      <c r="S15" s="28">
        <f t="shared" si="26"/>
        <v>-1030.6025648780487</v>
      </c>
      <c r="T15" s="26">
        <f t="shared" si="27"/>
        <v>-1805.0267779149826</v>
      </c>
      <c r="U15" s="27">
        <f t="shared" si="28"/>
        <v>0</v>
      </c>
      <c r="V15" s="28">
        <f t="shared" si="29"/>
        <v>-1805.0267779149826</v>
      </c>
      <c r="W15" s="26">
        <f t="shared" si="30"/>
        <v>-112.87551901045298</v>
      </c>
      <c r="X15" s="27">
        <f t="shared" si="31"/>
        <v>0</v>
      </c>
      <c r="Y15" s="28">
        <f t="shared" si="32"/>
        <v>-112.87551901045298</v>
      </c>
      <c r="Z15" s="26">
        <f t="shared" si="33"/>
        <v>-440.705287266899</v>
      </c>
      <c r="AA15" s="27">
        <f t="shared" si="34"/>
        <v>0</v>
      </c>
      <c r="AB15" s="28">
        <f t="shared" si="35"/>
        <v>-440.705287266899</v>
      </c>
      <c r="AC15" s="26">
        <f t="shared" si="36"/>
        <v>-269.9197193728223</v>
      </c>
      <c r="AD15" s="27">
        <f t="shared" si="37"/>
        <v>0</v>
      </c>
      <c r="AE15" s="28">
        <f t="shared" si="38"/>
        <v>-269.9197193728223</v>
      </c>
      <c r="AF15" s="20">
        <f t="shared" si="5"/>
        <v>-1161.4306451612902</v>
      </c>
      <c r="AG15" s="20">
        <f t="shared" si="6"/>
        <v>0</v>
      </c>
      <c r="AH15" s="29">
        <f t="shared" si="7"/>
        <v>-2392.547129032258</v>
      </c>
      <c r="AI15" s="29">
        <f t="shared" si="8"/>
        <v>283.3890774193548</v>
      </c>
      <c r="AJ15" s="29">
        <f t="shared" si="9"/>
        <v>0</v>
      </c>
      <c r="AK15" s="33">
        <f t="shared" si="10"/>
        <v>-108013.05</v>
      </c>
      <c r="AL15" s="32">
        <f t="shared" si="11"/>
        <v>-7.7348145105</v>
      </c>
      <c r="AM15" s="68">
        <v>32.82</v>
      </c>
      <c r="AN15" s="29">
        <f t="shared" si="39"/>
        <v>-253.85661223461</v>
      </c>
      <c r="AO15" s="67">
        <f t="shared" si="3"/>
        <v>0.7224212765987623</v>
      </c>
      <c r="AP15" s="31">
        <f t="shared" si="12"/>
        <v>-744.5292205851587</v>
      </c>
      <c r="AQ15" s="31">
        <f t="shared" si="13"/>
        <v>-1303.9897491962925</v>
      </c>
      <c r="AR15" s="31">
        <f t="shared" si="14"/>
        <v>-81.54367654027931</v>
      </c>
      <c r="AS15" s="31">
        <f t="shared" si="15"/>
        <v>-318.37487623117744</v>
      </c>
      <c r="AT15" s="31">
        <f t="shared" si="16"/>
        <v>-194.99574824849398</v>
      </c>
      <c r="AU15" s="30">
        <f t="shared" si="40"/>
        <v>-1728.4269512781875</v>
      </c>
      <c r="AV15" s="30">
        <f t="shared" si="41"/>
        <v>204.72629908343578</v>
      </c>
      <c r="AW15" s="30">
        <f t="shared" si="42"/>
        <v>0</v>
      </c>
      <c r="AX15" s="30">
        <f t="shared" si="43"/>
        <v>-183.39141788356395</v>
      </c>
      <c r="AY15" s="67">
        <f t="shared" si="4"/>
        <v>0.47509279638758667</v>
      </c>
      <c r="AZ15" s="31">
        <f t="shared" si="17"/>
        <v>-489.6318545121314</v>
      </c>
      <c r="BA15" s="31">
        <f t="shared" si="18"/>
        <v>-857.5552194741044</v>
      </c>
      <c r="BB15" s="31">
        <f t="shared" si="19"/>
        <v>-53.626345970376306</v>
      </c>
      <c r="BC15" s="31">
        <f t="shared" si="20"/>
        <v>-209.37590731042573</v>
      </c>
      <c r="BD15" s="31">
        <f t="shared" si="21"/>
        <v>-128.23691427698682</v>
      </c>
      <c r="BE15" s="30">
        <f t="shared" si="44"/>
        <v>-1136.6819060210275</v>
      </c>
      <c r="BF15" s="30">
        <f t="shared" si="45"/>
        <v>134.63610925685956</v>
      </c>
      <c r="BG15" s="30">
        <f t="shared" si="46"/>
        <v>0</v>
      </c>
      <c r="BH15" s="30">
        <f t="shared" si="47"/>
        <v>-120.60544778802011</v>
      </c>
    </row>
    <row r="16" spans="1:60" s="9" customFormat="1" ht="15">
      <c r="A16" s="72">
        <v>2027</v>
      </c>
      <c r="B16" s="200">
        <v>12</v>
      </c>
      <c r="C16" s="70">
        <f t="shared" si="22"/>
        <v>15475</v>
      </c>
      <c r="D16" s="22">
        <f t="shared" si="1"/>
        <v>0</v>
      </c>
      <c r="E16" s="51">
        <f t="shared" si="2"/>
        <v>-7273.25</v>
      </c>
      <c r="F16" s="48">
        <f t="shared" si="23"/>
        <v>0</v>
      </c>
      <c r="G16" s="120">
        <f>'VMT Multipliers'!W$21</f>
        <v>0.14312195121951218</v>
      </c>
      <c r="H16" s="120">
        <f>'VMT Multipliers'!X$21</f>
        <v>0.25066787456445994</v>
      </c>
      <c r="I16" s="120">
        <f>'VMT Multipliers'!Y$21</f>
        <v>0.015675261324041814</v>
      </c>
      <c r="J16" s="120">
        <f>'VMT Multipliers'!Z$21</f>
        <v>0.061201672473867604</v>
      </c>
      <c r="K16" s="120">
        <f>'VMT Multipliers'!AA$21</f>
        <v>0.03748432055749129</v>
      </c>
      <c r="L16" s="118">
        <f>'VMT Multipliers'!W$20</f>
        <v>0.0013630662020905925</v>
      </c>
      <c r="M16" s="118">
        <f>'VMT Multipliers'!X$20</f>
        <v>0.10495609756097561</v>
      </c>
      <c r="N16" s="118">
        <f>'VMT Multipliers'!Y$20</f>
        <v>0.01622048780487805</v>
      </c>
      <c r="O16" s="118">
        <f>'VMT Multipliers'!Z$20</f>
        <v>0.01812878048780488</v>
      </c>
      <c r="P16" s="118">
        <f>'VMT Multipliers'!AA$20</f>
        <v>0.0012267595818815332</v>
      </c>
      <c r="Q16" s="26">
        <f t="shared" si="24"/>
        <v>-1040.961731707317</v>
      </c>
      <c r="R16" s="27">
        <f t="shared" si="25"/>
        <v>0</v>
      </c>
      <c r="S16" s="28">
        <f t="shared" si="26"/>
        <v>-1040.961731707317</v>
      </c>
      <c r="T16" s="26">
        <f t="shared" si="27"/>
        <v>-1823.1701186759583</v>
      </c>
      <c r="U16" s="27">
        <f t="shared" si="28"/>
        <v>0</v>
      </c>
      <c r="V16" s="28">
        <f t="shared" si="29"/>
        <v>-1823.1701186759583</v>
      </c>
      <c r="W16" s="26">
        <f t="shared" si="30"/>
        <v>-114.01009442508712</v>
      </c>
      <c r="X16" s="27">
        <f t="shared" si="31"/>
        <v>0</v>
      </c>
      <c r="Y16" s="28">
        <f t="shared" si="32"/>
        <v>-114.01009442508712</v>
      </c>
      <c r="Z16" s="26">
        <f t="shared" si="33"/>
        <v>-445.13506432055755</v>
      </c>
      <c r="AA16" s="27">
        <f t="shared" si="34"/>
        <v>0</v>
      </c>
      <c r="AB16" s="28">
        <f t="shared" si="35"/>
        <v>-445.13506432055755</v>
      </c>
      <c r="AC16" s="26">
        <f t="shared" si="36"/>
        <v>-272.63283449477353</v>
      </c>
      <c r="AD16" s="27">
        <f t="shared" si="37"/>
        <v>0</v>
      </c>
      <c r="AE16" s="28">
        <f t="shared" si="38"/>
        <v>-272.63283449477353</v>
      </c>
      <c r="AF16" s="20">
        <f t="shared" si="5"/>
        <v>-1173.1048387096773</v>
      </c>
      <c r="AG16" s="20">
        <f t="shared" si="6"/>
        <v>0</v>
      </c>
      <c r="AH16" s="29">
        <f t="shared" si="7"/>
        <v>-2416.5959677419355</v>
      </c>
      <c r="AI16" s="29">
        <f t="shared" si="8"/>
        <v>286.23758064516124</v>
      </c>
      <c r="AJ16" s="29">
        <f t="shared" si="9"/>
        <v>0</v>
      </c>
      <c r="AK16" s="33">
        <f t="shared" si="10"/>
        <v>-109098.75</v>
      </c>
      <c r="AL16" s="32">
        <f t="shared" si="11"/>
        <v>-7.8125614875</v>
      </c>
      <c r="AM16" s="68">
        <v>33.39</v>
      </c>
      <c r="AN16" s="29">
        <f t="shared" si="39"/>
        <v>-260.861428067625</v>
      </c>
      <c r="AO16" s="67">
        <f t="shared" si="3"/>
        <v>0.7013798801929733</v>
      </c>
      <c r="AP16" s="31">
        <f t="shared" si="12"/>
        <v>-730.109614670348</v>
      </c>
      <c r="AQ16" s="31">
        <f t="shared" si="13"/>
        <v>-1278.7348394083524</v>
      </c>
      <c r="AR16" s="31">
        <f t="shared" si="14"/>
        <v>-79.96438636865717</v>
      </c>
      <c r="AS16" s="31">
        <f t="shared" si="15"/>
        <v>-312.2087780828441</v>
      </c>
      <c r="AT16" s="31">
        <f t="shared" si="16"/>
        <v>-191.21918479461496</v>
      </c>
      <c r="AU16" s="30">
        <f t="shared" si="40"/>
        <v>-1694.951790329661</v>
      </c>
      <c r="AV16" s="30">
        <f t="shared" si="41"/>
        <v>200.7612800196297</v>
      </c>
      <c r="AW16" s="30">
        <f t="shared" si="42"/>
        <v>0</v>
      </c>
      <c r="AX16" s="30">
        <f t="shared" si="43"/>
        <v>-182.96295716503874</v>
      </c>
      <c r="AY16" s="67">
        <f t="shared" si="4"/>
        <v>0.4440119592407353</v>
      </c>
      <c r="AZ16" s="31">
        <f t="shared" si="17"/>
        <v>-462.19945798999447</v>
      </c>
      <c r="BA16" s="31">
        <f t="shared" si="18"/>
        <v>-809.509336422476</v>
      </c>
      <c r="BB16" s="31">
        <f t="shared" si="19"/>
        <v>-50.62184539890416</v>
      </c>
      <c r="BC16" s="31">
        <f t="shared" si="20"/>
        <v>-197.64529203572147</v>
      </c>
      <c r="BD16" s="31">
        <f t="shared" si="21"/>
        <v>-121.05223899737952</v>
      </c>
      <c r="BE16" s="30">
        <f t="shared" si="44"/>
        <v>-1072.9975103303575</v>
      </c>
      <c r="BF16" s="30">
        <f t="shared" si="45"/>
        <v>127.09290899058601</v>
      </c>
      <c r="BG16" s="30">
        <f t="shared" si="46"/>
        <v>0</v>
      </c>
      <c r="BH16" s="30">
        <f t="shared" si="47"/>
        <v>-115.82559376664231</v>
      </c>
    </row>
    <row r="17" spans="1:60" s="9" customFormat="1" ht="15">
      <c r="A17" s="71">
        <v>2028</v>
      </c>
      <c r="B17" s="15">
        <v>13</v>
      </c>
      <c r="C17" s="70">
        <f t="shared" si="22"/>
        <v>15629</v>
      </c>
      <c r="D17" s="22">
        <f t="shared" si="1"/>
        <v>0</v>
      </c>
      <c r="E17" s="51">
        <f t="shared" si="2"/>
        <v>-7345.629999999999</v>
      </c>
      <c r="F17" s="48">
        <f t="shared" si="23"/>
        <v>0</v>
      </c>
      <c r="G17" s="120">
        <f>'VMT Multipliers'!W$21</f>
        <v>0.14312195121951218</v>
      </c>
      <c r="H17" s="120">
        <f>'VMT Multipliers'!X$21</f>
        <v>0.25066787456445994</v>
      </c>
      <c r="I17" s="120">
        <f>'VMT Multipliers'!Y$21</f>
        <v>0.015675261324041814</v>
      </c>
      <c r="J17" s="120">
        <f>'VMT Multipliers'!Z$21</f>
        <v>0.061201672473867604</v>
      </c>
      <c r="K17" s="120">
        <f>'VMT Multipliers'!AA$21</f>
        <v>0.03748432055749129</v>
      </c>
      <c r="L17" s="118">
        <f>'VMT Multipliers'!W$20</f>
        <v>0.0013630662020905925</v>
      </c>
      <c r="M17" s="118">
        <f>'VMT Multipliers'!X$20</f>
        <v>0.10495609756097561</v>
      </c>
      <c r="N17" s="118">
        <f>'VMT Multipliers'!Y$20</f>
        <v>0.01622048780487805</v>
      </c>
      <c r="O17" s="118">
        <f>'VMT Multipliers'!Z$20</f>
        <v>0.01812878048780488</v>
      </c>
      <c r="P17" s="118">
        <f>'VMT Multipliers'!AA$20</f>
        <v>0.0012267595818815332</v>
      </c>
      <c r="Q17" s="26">
        <f t="shared" si="24"/>
        <v>-1051.3208985365852</v>
      </c>
      <c r="R17" s="27">
        <f t="shared" si="25"/>
        <v>0</v>
      </c>
      <c r="S17" s="28">
        <f t="shared" si="26"/>
        <v>-1051.3208985365852</v>
      </c>
      <c r="T17" s="26">
        <f t="shared" si="27"/>
        <v>-1841.3134594369337</v>
      </c>
      <c r="U17" s="27">
        <f t="shared" si="28"/>
        <v>0</v>
      </c>
      <c r="V17" s="28">
        <f t="shared" si="29"/>
        <v>-1841.3134594369337</v>
      </c>
      <c r="W17" s="26">
        <f t="shared" si="30"/>
        <v>-115.14466983972126</v>
      </c>
      <c r="X17" s="27">
        <f t="shared" si="31"/>
        <v>0</v>
      </c>
      <c r="Y17" s="28">
        <f t="shared" si="32"/>
        <v>-115.14466983972126</v>
      </c>
      <c r="Z17" s="26">
        <f t="shared" si="33"/>
        <v>-449.56484137421603</v>
      </c>
      <c r="AA17" s="27">
        <f t="shared" si="34"/>
        <v>0</v>
      </c>
      <c r="AB17" s="28">
        <f t="shared" si="35"/>
        <v>-449.56484137421603</v>
      </c>
      <c r="AC17" s="26">
        <f t="shared" si="36"/>
        <v>-275.34594961672474</v>
      </c>
      <c r="AD17" s="27">
        <f t="shared" si="37"/>
        <v>0</v>
      </c>
      <c r="AE17" s="28">
        <f t="shared" si="38"/>
        <v>-275.34594961672474</v>
      </c>
      <c r="AF17" s="20">
        <f t="shared" si="5"/>
        <v>-1184.7790322580643</v>
      </c>
      <c r="AG17" s="20">
        <f t="shared" si="6"/>
        <v>0</v>
      </c>
      <c r="AH17" s="29">
        <f t="shared" si="7"/>
        <v>-2440.6448064516126</v>
      </c>
      <c r="AI17" s="29">
        <f t="shared" si="8"/>
        <v>289.0860838709677</v>
      </c>
      <c r="AJ17" s="29">
        <f t="shared" si="9"/>
        <v>0</v>
      </c>
      <c r="AK17" s="33">
        <f t="shared" si="10"/>
        <v>-110184.44999999998</v>
      </c>
      <c r="AL17" s="32">
        <f t="shared" si="11"/>
        <v>-7.890308464499999</v>
      </c>
      <c r="AM17" s="68">
        <v>33.96</v>
      </c>
      <c r="AN17" s="29">
        <f t="shared" si="39"/>
        <v>-267.95487545441995</v>
      </c>
      <c r="AO17" s="67">
        <f t="shared" si="3"/>
        <v>0.6809513399931779</v>
      </c>
      <c r="AP17" s="31">
        <f t="shared" si="12"/>
        <v>-715.8983746213196</v>
      </c>
      <c r="AQ17" s="31">
        <f t="shared" si="13"/>
        <v>-1253.844867551054</v>
      </c>
      <c r="AR17" s="31">
        <f t="shared" si="14"/>
        <v>-78.40791722043025</v>
      </c>
      <c r="AS17" s="31">
        <f t="shared" si="15"/>
        <v>-306.1317811475929</v>
      </c>
      <c r="AT17" s="31">
        <f t="shared" si="16"/>
        <v>-187.49719335320276</v>
      </c>
      <c r="AU17" s="30">
        <f t="shared" si="40"/>
        <v>-1661.960351400616</v>
      </c>
      <c r="AV17" s="30">
        <f t="shared" si="41"/>
        <v>196.85355618531565</v>
      </c>
      <c r="AW17" s="30">
        <f t="shared" si="42"/>
        <v>0</v>
      </c>
      <c r="AX17" s="30">
        <f t="shared" si="43"/>
        <v>-182.46423149839237</v>
      </c>
      <c r="AY17" s="67">
        <f t="shared" si="4"/>
        <v>0.4149644478885376</v>
      </c>
      <c r="AZ17" s="31">
        <f t="shared" si="17"/>
        <v>-436.26079621491533</v>
      </c>
      <c r="BA17" s="31">
        <f t="shared" si="18"/>
        <v>-764.0796230849803</v>
      </c>
      <c r="BB17" s="31">
        <f t="shared" si="19"/>
        <v>-47.78094434734788</v>
      </c>
      <c r="BC17" s="31">
        <f t="shared" si="20"/>
        <v>-186.55342619094952</v>
      </c>
      <c r="BD17" s="31">
        <f t="shared" si="21"/>
        <v>-114.25877996104927</v>
      </c>
      <c r="BE17" s="30">
        <f t="shared" si="44"/>
        <v>-1012.78082460122</v>
      </c>
      <c r="BF17" s="30">
        <f t="shared" si="45"/>
        <v>119.96044718577558</v>
      </c>
      <c r="BG17" s="30">
        <f t="shared" si="46"/>
        <v>0</v>
      </c>
      <c r="BH17" s="30">
        <f t="shared" si="47"/>
        <v>-111.19174695198522</v>
      </c>
    </row>
    <row r="18" spans="1:60" s="9" customFormat="1" ht="15">
      <c r="A18" s="72">
        <v>2029</v>
      </c>
      <c r="B18" s="200">
        <v>14</v>
      </c>
      <c r="C18" s="70">
        <f t="shared" si="22"/>
        <v>15786</v>
      </c>
      <c r="D18" s="22">
        <f t="shared" si="1"/>
        <v>0</v>
      </c>
      <c r="E18" s="51">
        <f t="shared" si="2"/>
        <v>-7419.419999999999</v>
      </c>
      <c r="F18" s="48">
        <f t="shared" si="23"/>
        <v>0</v>
      </c>
      <c r="G18" s="120">
        <f>'VMT Multipliers'!W$21</f>
        <v>0.14312195121951218</v>
      </c>
      <c r="H18" s="120">
        <f>'VMT Multipliers'!X$21</f>
        <v>0.25066787456445994</v>
      </c>
      <c r="I18" s="120">
        <f>'VMT Multipliers'!Y$21</f>
        <v>0.015675261324041814</v>
      </c>
      <c r="J18" s="120">
        <f>'VMT Multipliers'!Z$21</f>
        <v>0.061201672473867604</v>
      </c>
      <c r="K18" s="120">
        <f>'VMT Multipliers'!AA$21</f>
        <v>0.03748432055749129</v>
      </c>
      <c r="L18" s="118">
        <f>'VMT Multipliers'!W$20</f>
        <v>0.0013630662020905925</v>
      </c>
      <c r="M18" s="118">
        <f>'VMT Multipliers'!X$20</f>
        <v>0.10495609756097561</v>
      </c>
      <c r="N18" s="118">
        <f>'VMT Multipliers'!Y$20</f>
        <v>0.01622048780487805</v>
      </c>
      <c r="O18" s="118">
        <f>'VMT Multipliers'!Z$20</f>
        <v>0.01812878048780488</v>
      </c>
      <c r="P18" s="118">
        <f>'VMT Multipliers'!AA$20</f>
        <v>0.0012267595818815332</v>
      </c>
      <c r="Q18" s="26">
        <f t="shared" si="24"/>
        <v>-1061.8818673170729</v>
      </c>
      <c r="R18" s="27">
        <f t="shared" si="25"/>
        <v>0</v>
      </c>
      <c r="S18" s="28">
        <f t="shared" si="26"/>
        <v>-1061.8818673170729</v>
      </c>
      <c r="T18" s="26">
        <f t="shared" si="27"/>
        <v>-1859.8102419010452</v>
      </c>
      <c r="U18" s="27">
        <f t="shared" si="28"/>
        <v>0</v>
      </c>
      <c r="V18" s="28">
        <f t="shared" si="29"/>
        <v>-1859.8102419010452</v>
      </c>
      <c r="W18" s="26">
        <f t="shared" si="30"/>
        <v>-116.3013473728223</v>
      </c>
      <c r="X18" s="27">
        <f t="shared" si="31"/>
        <v>0</v>
      </c>
      <c r="Y18" s="28">
        <f t="shared" si="32"/>
        <v>-116.3013473728223</v>
      </c>
      <c r="Z18" s="26">
        <f t="shared" si="33"/>
        <v>-454.0809127860627</v>
      </c>
      <c r="AA18" s="27">
        <f t="shared" si="34"/>
        <v>0</v>
      </c>
      <c r="AB18" s="28">
        <f t="shared" si="35"/>
        <v>-454.0809127860627</v>
      </c>
      <c r="AC18" s="26">
        <f t="shared" si="36"/>
        <v>-278.111917630662</v>
      </c>
      <c r="AD18" s="27">
        <f t="shared" si="37"/>
        <v>0</v>
      </c>
      <c r="AE18" s="28">
        <f t="shared" si="38"/>
        <v>-278.111917630662</v>
      </c>
      <c r="AF18" s="20">
        <f t="shared" si="5"/>
        <v>-1196.6806451612902</v>
      </c>
      <c r="AG18" s="20">
        <f t="shared" si="6"/>
        <v>0</v>
      </c>
      <c r="AH18" s="29">
        <f t="shared" si="7"/>
        <v>-2465.162129032258</v>
      </c>
      <c r="AI18" s="29">
        <f t="shared" si="8"/>
        <v>291.9900774193548</v>
      </c>
      <c r="AJ18" s="29">
        <f t="shared" si="9"/>
        <v>0</v>
      </c>
      <c r="AK18" s="33">
        <f t="shared" si="10"/>
        <v>-111291.29999999999</v>
      </c>
      <c r="AL18" s="32">
        <f t="shared" si="11"/>
        <v>-7.969569992999999</v>
      </c>
      <c r="AM18" s="68">
        <v>34.53</v>
      </c>
      <c r="AN18" s="29">
        <f t="shared" si="39"/>
        <v>-275.18925185828994</v>
      </c>
      <c r="AO18" s="67">
        <f t="shared" si="3"/>
        <v>0.6611178058186192</v>
      </c>
      <c r="AP18" s="31">
        <f t="shared" si="12"/>
        <v>-702.0290101592414</v>
      </c>
      <c r="AQ18" s="31">
        <f t="shared" si="13"/>
        <v>-1229.5536663646144</v>
      </c>
      <c r="AR18" s="31">
        <f t="shared" si="14"/>
        <v>-76.88889158886931</v>
      </c>
      <c r="AS18" s="31">
        <f t="shared" si="15"/>
        <v>-300.2009767252376</v>
      </c>
      <c r="AT18" s="31">
        <f t="shared" si="16"/>
        <v>-183.86474075599182</v>
      </c>
      <c r="AU18" s="30">
        <f t="shared" si="40"/>
        <v>-1629.7625777329622</v>
      </c>
      <c r="AV18" s="30">
        <f t="shared" si="41"/>
        <v>193.0398393042926</v>
      </c>
      <c r="AW18" s="30">
        <f t="shared" si="42"/>
        <v>0</v>
      </c>
      <c r="AX18" s="30">
        <f t="shared" si="43"/>
        <v>-181.93251437342002</v>
      </c>
      <c r="AY18" s="67">
        <f t="shared" si="4"/>
        <v>0.3878172410173249</v>
      </c>
      <c r="AZ18" s="31">
        <f t="shared" si="17"/>
        <v>-411.8160960692323</v>
      </c>
      <c r="BA18" s="31">
        <f t="shared" si="18"/>
        <v>-721.266476829827</v>
      </c>
      <c r="BB18" s="31">
        <f t="shared" si="19"/>
        <v>-45.10366766472546</v>
      </c>
      <c r="BC18" s="31">
        <f t="shared" si="20"/>
        <v>-176.10040679531937</v>
      </c>
      <c r="BD18" s="31">
        <f t="shared" si="21"/>
        <v>-107.85659658956085</v>
      </c>
      <c r="BE18" s="30">
        <f t="shared" si="44"/>
        <v>-956.0323755416849</v>
      </c>
      <c r="BF18" s="30">
        <f t="shared" si="45"/>
        <v>113.23878622920928</v>
      </c>
      <c r="BG18" s="30">
        <f t="shared" si="46"/>
        <v>0</v>
      </c>
      <c r="BH18" s="30">
        <f t="shared" si="47"/>
        <v>-106.72313641330375</v>
      </c>
    </row>
    <row r="19" spans="1:60" s="9" customFormat="1" ht="15">
      <c r="A19" s="71">
        <v>2030</v>
      </c>
      <c r="B19" s="15">
        <v>15</v>
      </c>
      <c r="C19" s="70">
        <f t="shared" si="22"/>
        <v>15944</v>
      </c>
      <c r="D19" s="22">
        <f t="shared" si="1"/>
        <v>0</v>
      </c>
      <c r="E19" s="51">
        <f t="shared" si="2"/>
        <v>-7493.679999999999</v>
      </c>
      <c r="F19" s="48">
        <f t="shared" si="23"/>
        <v>0</v>
      </c>
      <c r="G19" s="120">
        <f>'VMT Multipliers'!W$21</f>
        <v>0.14312195121951218</v>
      </c>
      <c r="H19" s="120">
        <f>'VMT Multipliers'!X$21</f>
        <v>0.25066787456445994</v>
      </c>
      <c r="I19" s="120">
        <f>'VMT Multipliers'!Y$21</f>
        <v>0.015675261324041814</v>
      </c>
      <c r="J19" s="120">
        <f>'VMT Multipliers'!Z$21</f>
        <v>0.061201672473867604</v>
      </c>
      <c r="K19" s="120">
        <f>'VMT Multipliers'!AA$21</f>
        <v>0.03748432055749129</v>
      </c>
      <c r="L19" s="118">
        <f>'VMT Multipliers'!W$20</f>
        <v>0.0013630662020905925</v>
      </c>
      <c r="M19" s="118">
        <f>'VMT Multipliers'!X$20</f>
        <v>0.10495609756097561</v>
      </c>
      <c r="N19" s="118">
        <f>'VMT Multipliers'!Y$20</f>
        <v>0.01622048780487805</v>
      </c>
      <c r="O19" s="118">
        <f>'VMT Multipliers'!Z$20</f>
        <v>0.01812878048780488</v>
      </c>
      <c r="P19" s="118">
        <f>'VMT Multipliers'!AA$20</f>
        <v>0.0012267595818815332</v>
      </c>
      <c r="Q19" s="26">
        <f t="shared" si="24"/>
        <v>-1072.510103414634</v>
      </c>
      <c r="R19" s="27">
        <f t="shared" si="25"/>
        <v>0</v>
      </c>
      <c r="S19" s="28">
        <f t="shared" si="26"/>
        <v>-1072.510103414634</v>
      </c>
      <c r="T19" s="26">
        <f t="shared" si="27"/>
        <v>-1878.424838266202</v>
      </c>
      <c r="U19" s="27">
        <f t="shared" si="28"/>
        <v>0</v>
      </c>
      <c r="V19" s="28">
        <f t="shared" si="29"/>
        <v>-1878.424838266202</v>
      </c>
      <c r="W19" s="26">
        <f t="shared" si="30"/>
        <v>-117.46539227874565</v>
      </c>
      <c r="X19" s="27">
        <f t="shared" si="31"/>
        <v>0</v>
      </c>
      <c r="Y19" s="28">
        <f t="shared" si="32"/>
        <v>-117.46539227874565</v>
      </c>
      <c r="Z19" s="26">
        <f t="shared" si="33"/>
        <v>-458.62574898397213</v>
      </c>
      <c r="AA19" s="27">
        <f t="shared" si="34"/>
        <v>0</v>
      </c>
      <c r="AB19" s="28">
        <f t="shared" si="35"/>
        <v>-458.62574898397213</v>
      </c>
      <c r="AC19" s="26">
        <f t="shared" si="36"/>
        <v>-280.8955032752613</v>
      </c>
      <c r="AD19" s="27">
        <f t="shared" si="37"/>
        <v>0</v>
      </c>
      <c r="AE19" s="28">
        <f t="shared" si="38"/>
        <v>-280.8955032752613</v>
      </c>
      <c r="AF19" s="20">
        <f t="shared" si="5"/>
        <v>-1208.658064516129</v>
      </c>
      <c r="AG19" s="20">
        <f t="shared" si="6"/>
        <v>0</v>
      </c>
      <c r="AH19" s="29">
        <f t="shared" si="7"/>
        <v>-2489.8356129032254</v>
      </c>
      <c r="AI19" s="29">
        <f t="shared" si="8"/>
        <v>294.91256774193545</v>
      </c>
      <c r="AJ19" s="29">
        <f t="shared" si="9"/>
        <v>0</v>
      </c>
      <c r="AK19" s="33">
        <f t="shared" si="10"/>
        <v>-112405.2</v>
      </c>
      <c r="AL19" s="32">
        <f t="shared" si="11"/>
        <v>-8.049336371999999</v>
      </c>
      <c r="AM19" s="68">
        <v>35.1</v>
      </c>
      <c r="AN19" s="29">
        <f t="shared" si="39"/>
        <v>-282.5317066572</v>
      </c>
      <c r="AO19" s="67">
        <f t="shared" si="3"/>
        <v>0.6418619473967176</v>
      </c>
      <c r="AP19" s="31">
        <f t="shared" si="12"/>
        <v>-688.403423580372</v>
      </c>
      <c r="AQ19" s="31">
        <f t="shared" si="13"/>
        <v>-1205.6894247279088</v>
      </c>
      <c r="AR19" s="31">
        <f t="shared" si="14"/>
        <v>-75.39656543975505</v>
      </c>
      <c r="AS19" s="31">
        <f t="shared" si="15"/>
        <v>-294.37441636913053</v>
      </c>
      <c r="AT19" s="31">
        <f t="shared" si="16"/>
        <v>-180.2961347472403</v>
      </c>
      <c r="AU19" s="30">
        <f t="shared" si="40"/>
        <v>-1598.1307351957644</v>
      </c>
      <c r="AV19" s="30">
        <f t="shared" si="41"/>
        <v>189.2931550426051</v>
      </c>
      <c r="AW19" s="30">
        <f t="shared" si="42"/>
        <v>0</v>
      </c>
      <c r="AX19" s="30">
        <f t="shared" si="43"/>
        <v>-181.34635143630857</v>
      </c>
      <c r="AY19" s="67">
        <f t="shared" si="4"/>
        <v>0.3624460196423597</v>
      </c>
      <c r="AZ19" s="31">
        <f t="shared" si="17"/>
        <v>-388.7270180088496</v>
      </c>
      <c r="BA19" s="31">
        <f t="shared" si="18"/>
        <v>-680.8276058269281</v>
      </c>
      <c r="BB19" s="31">
        <f t="shared" si="19"/>
        <v>-42.57486387715973</v>
      </c>
      <c r="BC19" s="31">
        <f t="shared" si="20"/>
        <v>-166.2270772247367</v>
      </c>
      <c r="BD19" s="31">
        <f t="shared" si="21"/>
        <v>-101.80945709755586</v>
      </c>
      <c r="BE19" s="30">
        <f t="shared" si="44"/>
        <v>-902.431007460569</v>
      </c>
      <c r="BF19" s="30">
        <f t="shared" si="45"/>
        <v>106.88988632057226</v>
      </c>
      <c r="BG19" s="30">
        <f t="shared" si="46"/>
        <v>0</v>
      </c>
      <c r="BH19" s="30">
        <f t="shared" si="47"/>
        <v>-102.40249250066492</v>
      </c>
    </row>
    <row r="20" spans="1:60" s="9" customFormat="1" ht="15">
      <c r="A20" s="72">
        <v>2031</v>
      </c>
      <c r="B20" s="200">
        <v>16</v>
      </c>
      <c r="C20" s="70">
        <f t="shared" si="22"/>
        <v>16103</v>
      </c>
      <c r="D20" s="22">
        <f t="shared" si="1"/>
        <v>0</v>
      </c>
      <c r="E20" s="51">
        <f t="shared" si="2"/>
        <v>-7568.41</v>
      </c>
      <c r="F20" s="48">
        <f t="shared" si="23"/>
        <v>0</v>
      </c>
      <c r="G20" s="120">
        <f>'VMT Multipliers'!W$21</f>
        <v>0.14312195121951218</v>
      </c>
      <c r="H20" s="120">
        <f>'VMT Multipliers'!X$21</f>
        <v>0.25066787456445994</v>
      </c>
      <c r="I20" s="120">
        <f>'VMT Multipliers'!Y$21</f>
        <v>0.015675261324041814</v>
      </c>
      <c r="J20" s="120">
        <f>'VMT Multipliers'!Z$21</f>
        <v>0.061201672473867604</v>
      </c>
      <c r="K20" s="120">
        <f>'VMT Multipliers'!AA$21</f>
        <v>0.03748432055749129</v>
      </c>
      <c r="L20" s="118">
        <f>'VMT Multipliers'!W$20</f>
        <v>0.0013630662020905925</v>
      </c>
      <c r="M20" s="118">
        <f>'VMT Multipliers'!X$20</f>
        <v>0.10495609756097561</v>
      </c>
      <c r="N20" s="118">
        <f>'VMT Multipliers'!Y$20</f>
        <v>0.01622048780487805</v>
      </c>
      <c r="O20" s="118">
        <f>'VMT Multipliers'!Z$20</f>
        <v>0.01812878048780488</v>
      </c>
      <c r="P20" s="118">
        <f>'VMT Multipliers'!AA$20</f>
        <v>0.0012267595818815332</v>
      </c>
      <c r="Q20" s="26">
        <f t="shared" si="24"/>
        <v>-1083.2056068292682</v>
      </c>
      <c r="R20" s="27">
        <f t="shared" si="25"/>
        <v>0</v>
      </c>
      <c r="S20" s="28">
        <f t="shared" si="26"/>
        <v>-1083.2056068292682</v>
      </c>
      <c r="T20" s="26">
        <f t="shared" si="27"/>
        <v>-1897.157248532404</v>
      </c>
      <c r="U20" s="27">
        <f t="shared" si="28"/>
        <v>0</v>
      </c>
      <c r="V20" s="28">
        <f t="shared" si="29"/>
        <v>-1897.157248532404</v>
      </c>
      <c r="W20" s="26">
        <f t="shared" si="30"/>
        <v>-118.6368045574913</v>
      </c>
      <c r="X20" s="27">
        <f t="shared" si="31"/>
        <v>0</v>
      </c>
      <c r="Y20" s="28">
        <f t="shared" si="32"/>
        <v>-118.6368045574913</v>
      </c>
      <c r="Z20" s="26">
        <f t="shared" si="33"/>
        <v>-463.1993499679443</v>
      </c>
      <c r="AA20" s="27">
        <f t="shared" si="34"/>
        <v>0</v>
      </c>
      <c r="AB20" s="28">
        <f t="shared" si="35"/>
        <v>-463.1993499679443</v>
      </c>
      <c r="AC20" s="26">
        <f t="shared" si="36"/>
        <v>-283.69670655052266</v>
      </c>
      <c r="AD20" s="27">
        <f t="shared" si="37"/>
        <v>0</v>
      </c>
      <c r="AE20" s="28">
        <f t="shared" si="38"/>
        <v>-283.69670655052266</v>
      </c>
      <c r="AF20" s="20">
        <f t="shared" si="5"/>
        <v>-1220.7112903225807</v>
      </c>
      <c r="AG20" s="20">
        <f t="shared" si="6"/>
        <v>0</v>
      </c>
      <c r="AH20" s="29">
        <f t="shared" si="7"/>
        <v>-2514.6652580645164</v>
      </c>
      <c r="AI20" s="29">
        <f t="shared" si="8"/>
        <v>297.85355483870967</v>
      </c>
      <c r="AJ20" s="29">
        <f t="shared" si="9"/>
        <v>0</v>
      </c>
      <c r="AK20" s="33">
        <f t="shared" si="10"/>
        <v>-113526.15</v>
      </c>
      <c r="AL20" s="32">
        <f t="shared" si="11"/>
        <v>-8.1296076015</v>
      </c>
      <c r="AM20" s="68">
        <v>35.67</v>
      </c>
      <c r="AN20" s="29">
        <f t="shared" si="39"/>
        <v>-289.983103145505</v>
      </c>
      <c r="AO20" s="67">
        <f t="shared" si="3"/>
        <v>0.6231669392201143</v>
      </c>
      <c r="AP20" s="31">
        <f t="shared" si="12"/>
        <v>-675.0179225538616</v>
      </c>
      <c r="AQ20" s="31">
        <f t="shared" si="13"/>
        <v>-1182.245675787192</v>
      </c>
      <c r="AR20" s="31">
        <f t="shared" si="14"/>
        <v>-73.93053437494677</v>
      </c>
      <c r="AS20" s="31">
        <f t="shared" si="15"/>
        <v>-288.6505211682704</v>
      </c>
      <c r="AT20" s="31">
        <f t="shared" si="16"/>
        <v>-176.79040828791616</v>
      </c>
      <c r="AU20" s="30">
        <f t="shared" si="40"/>
        <v>-1567.0562520312237</v>
      </c>
      <c r="AV20" s="30">
        <f t="shared" si="41"/>
        <v>185.61248810466918</v>
      </c>
      <c r="AW20" s="30">
        <f t="shared" si="42"/>
        <v>0</v>
      </c>
      <c r="AX20" s="30">
        <f t="shared" si="43"/>
        <v>-180.70788281273508</v>
      </c>
      <c r="AY20" s="67">
        <f t="shared" si="4"/>
        <v>0.33873459779659787</v>
      </c>
      <c r="AZ20" s="31">
        <f t="shared" si="17"/>
        <v>-366.91921556033185</v>
      </c>
      <c r="BA20" s="31">
        <f t="shared" si="18"/>
        <v>-642.6327975385242</v>
      </c>
      <c r="BB20" s="31">
        <f t="shared" si="19"/>
        <v>-40.186390275655405</v>
      </c>
      <c r="BC20" s="31">
        <f t="shared" si="20"/>
        <v>-156.90164551103717</v>
      </c>
      <c r="BD20" s="31">
        <f t="shared" si="21"/>
        <v>-96.09788978961075</v>
      </c>
      <c r="BE20" s="30">
        <f t="shared" si="44"/>
        <v>-851.804124783562</v>
      </c>
      <c r="BF20" s="30">
        <f t="shared" si="45"/>
        <v>100.89330410057723</v>
      </c>
      <c r="BG20" s="30">
        <f t="shared" si="46"/>
        <v>0</v>
      </c>
      <c r="BH20" s="30">
        <f t="shared" si="47"/>
        <v>-98.227309811802</v>
      </c>
    </row>
    <row r="21" spans="1:60" s="9" customFormat="1" ht="15">
      <c r="A21" s="71">
        <v>2032</v>
      </c>
      <c r="B21" s="15">
        <v>17</v>
      </c>
      <c r="C21" s="70">
        <f t="shared" si="22"/>
        <v>16264</v>
      </c>
      <c r="D21" s="22">
        <f t="shared" si="1"/>
        <v>0</v>
      </c>
      <c r="E21" s="51">
        <f t="shared" si="2"/>
        <v>-7644.08</v>
      </c>
      <c r="F21" s="48">
        <f t="shared" si="23"/>
        <v>0</v>
      </c>
      <c r="G21" s="120">
        <f>'VMT Multipliers'!W$21</f>
        <v>0.14312195121951218</v>
      </c>
      <c r="H21" s="120">
        <f>'VMT Multipliers'!X$21</f>
        <v>0.25066787456445994</v>
      </c>
      <c r="I21" s="120">
        <f>'VMT Multipliers'!Y$21</f>
        <v>0.015675261324041814</v>
      </c>
      <c r="J21" s="120">
        <f>'VMT Multipliers'!Z$21</f>
        <v>0.061201672473867604</v>
      </c>
      <c r="K21" s="120">
        <f>'VMT Multipliers'!AA$21</f>
        <v>0.03748432055749129</v>
      </c>
      <c r="L21" s="118">
        <f>'VMT Multipliers'!W$20</f>
        <v>0.0013630662020905925</v>
      </c>
      <c r="M21" s="118">
        <f>'VMT Multipliers'!X$20</f>
        <v>0.10495609756097561</v>
      </c>
      <c r="N21" s="118">
        <f>'VMT Multipliers'!Y$20</f>
        <v>0.01622048780487805</v>
      </c>
      <c r="O21" s="118">
        <f>'VMT Multipliers'!Z$20</f>
        <v>0.01812878048780488</v>
      </c>
      <c r="P21" s="118">
        <f>'VMT Multipliers'!AA$20</f>
        <v>0.0012267595818815332</v>
      </c>
      <c r="Q21" s="26">
        <f t="shared" si="24"/>
        <v>-1094.0356448780487</v>
      </c>
      <c r="R21" s="27">
        <f t="shared" si="25"/>
        <v>0</v>
      </c>
      <c r="S21" s="28">
        <f t="shared" si="26"/>
        <v>-1094.0356448780487</v>
      </c>
      <c r="T21" s="26">
        <f t="shared" si="27"/>
        <v>-1916.1252866006969</v>
      </c>
      <c r="U21" s="27">
        <f t="shared" si="28"/>
        <v>0</v>
      </c>
      <c r="V21" s="28">
        <f t="shared" si="29"/>
        <v>-1916.1252866006969</v>
      </c>
      <c r="W21" s="26">
        <f t="shared" si="30"/>
        <v>-119.82295158188154</v>
      </c>
      <c r="X21" s="27">
        <f t="shared" si="31"/>
        <v>0</v>
      </c>
      <c r="Y21" s="28">
        <f t="shared" si="32"/>
        <v>-119.82295158188154</v>
      </c>
      <c r="Z21" s="26">
        <f t="shared" si="33"/>
        <v>-467.8304805240419</v>
      </c>
      <c r="AA21" s="27">
        <f t="shared" si="34"/>
        <v>0</v>
      </c>
      <c r="AB21" s="28">
        <f t="shared" si="35"/>
        <v>-467.8304805240419</v>
      </c>
      <c r="AC21" s="26">
        <f t="shared" si="36"/>
        <v>-286.53314508710804</v>
      </c>
      <c r="AD21" s="27">
        <f t="shared" si="37"/>
        <v>0</v>
      </c>
      <c r="AE21" s="28">
        <f t="shared" si="38"/>
        <v>-286.53314508710804</v>
      </c>
      <c r="AF21" s="20">
        <f t="shared" si="5"/>
        <v>-1232.916129032258</v>
      </c>
      <c r="AG21" s="20">
        <f t="shared" si="6"/>
        <v>0</v>
      </c>
      <c r="AH21" s="29">
        <f t="shared" si="7"/>
        <v>-2539.8072258064512</v>
      </c>
      <c r="AI21" s="29">
        <f t="shared" si="8"/>
        <v>300.83153548387094</v>
      </c>
      <c r="AJ21" s="29">
        <f t="shared" si="9"/>
        <v>0</v>
      </c>
      <c r="AK21" s="33">
        <f t="shared" si="10"/>
        <v>-114661.2</v>
      </c>
      <c r="AL21" s="32">
        <f t="shared" si="11"/>
        <v>-8.210888532</v>
      </c>
      <c r="AM21" s="68">
        <v>36.24</v>
      </c>
      <c r="AN21" s="29">
        <f t="shared" si="39"/>
        <v>-297.56260039968004</v>
      </c>
      <c r="AO21" s="67">
        <f t="shared" si="3"/>
        <v>0.6050164458447712</v>
      </c>
      <c r="AP21" s="31">
        <f t="shared" si="12"/>
        <v>-661.9095574916093</v>
      </c>
      <c r="AQ21" s="31">
        <f t="shared" si="13"/>
        <v>-1159.2873106924471</v>
      </c>
      <c r="AR21" s="31">
        <f t="shared" si="14"/>
        <v>-72.49485629670008</v>
      </c>
      <c r="AS21" s="31">
        <f t="shared" si="15"/>
        <v>-283.0451345845073</v>
      </c>
      <c r="AT21" s="31">
        <f t="shared" si="16"/>
        <v>-173.35726505732626</v>
      </c>
      <c r="AU21" s="30">
        <f t="shared" si="40"/>
        <v>-1536.6251408882874</v>
      </c>
      <c r="AV21" s="30">
        <f t="shared" si="41"/>
        <v>182.00802639647677</v>
      </c>
      <c r="AW21" s="30">
        <f t="shared" si="42"/>
        <v>0</v>
      </c>
      <c r="AX21" s="30">
        <f t="shared" si="43"/>
        <v>-180.0302669101423</v>
      </c>
      <c r="AY21" s="67">
        <f t="shared" si="4"/>
        <v>0.3165743904641102</v>
      </c>
      <c r="AZ21" s="31">
        <f t="shared" si="17"/>
        <v>-346.34366742327796</v>
      </c>
      <c r="BA21" s="31">
        <f t="shared" si="18"/>
        <v>-606.596194658484</v>
      </c>
      <c r="BB21" s="31">
        <f t="shared" si="19"/>
        <v>-37.93287786064474</v>
      </c>
      <c r="BC21" s="31">
        <f t="shared" si="20"/>
        <v>-148.10314921243034</v>
      </c>
      <c r="BD21" s="31">
        <f t="shared" si="21"/>
        <v>-90.70905575371567</v>
      </c>
      <c r="BE21" s="30">
        <f t="shared" si="44"/>
        <v>-804.0379244060199</v>
      </c>
      <c r="BF21" s="30">
        <f t="shared" si="45"/>
        <v>95.23555997818877</v>
      </c>
      <c r="BG21" s="30">
        <f t="shared" si="46"/>
        <v>0</v>
      </c>
      <c r="BH21" s="30">
        <f t="shared" si="47"/>
        <v>-94.2006988464443</v>
      </c>
    </row>
    <row r="22" spans="1:60" s="9" customFormat="1" ht="15">
      <c r="A22" s="72">
        <v>2033</v>
      </c>
      <c r="B22" s="200">
        <v>18</v>
      </c>
      <c r="C22" s="70">
        <f t="shared" si="22"/>
        <v>16427</v>
      </c>
      <c r="D22" s="22">
        <f t="shared" si="1"/>
        <v>0</v>
      </c>
      <c r="E22" s="51">
        <f t="shared" si="2"/>
        <v>-7720.69</v>
      </c>
      <c r="F22" s="48">
        <f t="shared" si="23"/>
        <v>0</v>
      </c>
      <c r="G22" s="120">
        <f>'VMT Multipliers'!W$21</f>
        <v>0.14312195121951218</v>
      </c>
      <c r="H22" s="120">
        <f>'VMT Multipliers'!X$21</f>
        <v>0.25066787456445994</v>
      </c>
      <c r="I22" s="120">
        <f>'VMT Multipliers'!Y$21</f>
        <v>0.015675261324041814</v>
      </c>
      <c r="J22" s="120">
        <f>'VMT Multipliers'!Z$21</f>
        <v>0.061201672473867604</v>
      </c>
      <c r="K22" s="120">
        <f>'VMT Multipliers'!AA$21</f>
        <v>0.03748432055749129</v>
      </c>
      <c r="L22" s="118">
        <f>'VMT Multipliers'!W$20</f>
        <v>0.0013630662020905925</v>
      </c>
      <c r="M22" s="118">
        <f>'VMT Multipliers'!X$20</f>
        <v>0.10495609756097561</v>
      </c>
      <c r="N22" s="118">
        <f>'VMT Multipliers'!Y$20</f>
        <v>0.01622048780487805</v>
      </c>
      <c r="O22" s="118">
        <f>'VMT Multipliers'!Z$20</f>
        <v>0.01812878048780488</v>
      </c>
      <c r="P22" s="118">
        <f>'VMT Multipliers'!AA$20</f>
        <v>0.0012267595818815332</v>
      </c>
      <c r="Q22" s="26">
        <f t="shared" si="24"/>
        <v>-1105.0002175609754</v>
      </c>
      <c r="R22" s="27">
        <f t="shared" si="25"/>
        <v>0</v>
      </c>
      <c r="S22" s="28">
        <f t="shared" si="26"/>
        <v>-1105.0002175609754</v>
      </c>
      <c r="T22" s="26">
        <f t="shared" si="27"/>
        <v>-1935.3289524710801</v>
      </c>
      <c r="U22" s="27">
        <f t="shared" si="28"/>
        <v>0</v>
      </c>
      <c r="V22" s="28">
        <f t="shared" si="29"/>
        <v>-1935.3289524710801</v>
      </c>
      <c r="W22" s="26">
        <f t="shared" si="30"/>
        <v>-121.02383335191638</v>
      </c>
      <c r="X22" s="27">
        <f t="shared" si="31"/>
        <v>0</v>
      </c>
      <c r="Y22" s="28">
        <f t="shared" si="32"/>
        <v>-121.02383335191638</v>
      </c>
      <c r="Z22" s="26">
        <f t="shared" si="33"/>
        <v>-472.51914065226487</v>
      </c>
      <c r="AA22" s="27">
        <f t="shared" si="34"/>
        <v>0</v>
      </c>
      <c r="AB22" s="28">
        <f t="shared" si="35"/>
        <v>-472.51914065226487</v>
      </c>
      <c r="AC22" s="26">
        <f t="shared" si="36"/>
        <v>-289.4048188850174</v>
      </c>
      <c r="AD22" s="27">
        <f t="shared" si="37"/>
        <v>0</v>
      </c>
      <c r="AE22" s="28">
        <f t="shared" si="38"/>
        <v>-289.4048188850174</v>
      </c>
      <c r="AF22" s="20">
        <f t="shared" si="5"/>
        <v>-1245.2725806451613</v>
      </c>
      <c r="AG22" s="20">
        <f t="shared" si="6"/>
        <v>0</v>
      </c>
      <c r="AH22" s="29">
        <f t="shared" si="7"/>
        <v>-2565.2615161290323</v>
      </c>
      <c r="AI22" s="29">
        <f t="shared" si="8"/>
        <v>303.84650967741936</v>
      </c>
      <c r="AJ22" s="29">
        <f t="shared" si="9"/>
        <v>0</v>
      </c>
      <c r="AK22" s="33">
        <f t="shared" si="10"/>
        <v>-115810.34999999999</v>
      </c>
      <c r="AL22" s="32">
        <f t="shared" si="11"/>
        <v>-8.2931791635</v>
      </c>
      <c r="AM22" s="68">
        <v>36.81</v>
      </c>
      <c r="AN22" s="29">
        <f t="shared" si="39"/>
        <v>-305.271925008435</v>
      </c>
      <c r="AO22" s="67">
        <f t="shared" si="3"/>
        <v>0.5873946076162827</v>
      </c>
      <c r="AP22" s="31">
        <f t="shared" si="12"/>
        <v>-649.0711692101362</v>
      </c>
      <c r="AQ22" s="31">
        <f t="shared" si="13"/>
        <v>-1136.8017906451817</v>
      </c>
      <c r="AR22" s="31">
        <f t="shared" si="14"/>
        <v>-71.08874710396731</v>
      </c>
      <c r="AS22" s="31">
        <f t="shared" si="15"/>
        <v>-277.5551952146202</v>
      </c>
      <c r="AT22" s="31">
        <f t="shared" si="16"/>
        <v>-169.99483003122614</v>
      </c>
      <c r="AU22" s="30">
        <f t="shared" si="40"/>
        <v>-1506.8207816997633</v>
      </c>
      <c r="AV22" s="30">
        <f t="shared" si="41"/>
        <v>178.4778013275448</v>
      </c>
      <c r="AW22" s="30">
        <f t="shared" si="42"/>
        <v>0</v>
      </c>
      <c r="AX22" s="30">
        <f t="shared" si="43"/>
        <v>-179.31508260659695</v>
      </c>
      <c r="AY22" s="67">
        <f t="shared" si="4"/>
        <v>0.29586391632159825</v>
      </c>
      <c r="AZ22" s="31">
        <f t="shared" si="17"/>
        <v>-326.9296919038083</v>
      </c>
      <c r="BA22" s="31">
        <f t="shared" si="18"/>
        <v>-572.5940032486701</v>
      </c>
      <c r="BB22" s="31">
        <f t="shared" si="19"/>
        <v>-35.80658530375044</v>
      </c>
      <c r="BC22" s="31">
        <f t="shared" si="20"/>
        <v>-139.80136349029522</v>
      </c>
      <c r="BD22" s="31">
        <f t="shared" si="21"/>
        <v>-85.62444311766409</v>
      </c>
      <c r="BE22" s="30">
        <f t="shared" si="44"/>
        <v>-758.9683185510163</v>
      </c>
      <c r="BF22" s="30">
        <f t="shared" si="45"/>
        <v>89.8972183138097</v>
      </c>
      <c r="BG22" s="30">
        <f t="shared" si="46"/>
        <v>0</v>
      </c>
      <c r="BH22" s="30">
        <f t="shared" si="47"/>
        <v>-90.31894727602884</v>
      </c>
    </row>
    <row r="23" spans="1:60" s="9" customFormat="1" ht="15">
      <c r="A23" s="71">
        <v>2034</v>
      </c>
      <c r="B23" s="15">
        <v>19</v>
      </c>
      <c r="C23" s="70">
        <f t="shared" si="22"/>
        <v>16591</v>
      </c>
      <c r="D23" s="22">
        <f t="shared" si="1"/>
        <v>0</v>
      </c>
      <c r="E23" s="51">
        <f t="shared" si="2"/>
        <v>-7797.7699999999995</v>
      </c>
      <c r="F23" s="48">
        <f t="shared" si="23"/>
        <v>0</v>
      </c>
      <c r="G23" s="120">
        <f>'VMT Multipliers'!W$21</f>
        <v>0.14312195121951218</v>
      </c>
      <c r="H23" s="120">
        <f>'VMT Multipliers'!X$21</f>
        <v>0.25066787456445994</v>
      </c>
      <c r="I23" s="120">
        <f>'VMT Multipliers'!Y$21</f>
        <v>0.015675261324041814</v>
      </c>
      <c r="J23" s="120">
        <f>'VMT Multipliers'!Z$21</f>
        <v>0.061201672473867604</v>
      </c>
      <c r="K23" s="120">
        <f>'VMT Multipliers'!AA$21</f>
        <v>0.03748432055749129</v>
      </c>
      <c r="L23" s="118">
        <f>'VMT Multipliers'!W$20</f>
        <v>0.0013630662020905925</v>
      </c>
      <c r="M23" s="118">
        <f>'VMT Multipliers'!X$20</f>
        <v>0.10495609756097561</v>
      </c>
      <c r="N23" s="118">
        <f>'VMT Multipliers'!Y$20</f>
        <v>0.01622048780487805</v>
      </c>
      <c r="O23" s="118">
        <f>'VMT Multipliers'!Z$20</f>
        <v>0.01812878048780488</v>
      </c>
      <c r="P23" s="118">
        <f>'VMT Multipliers'!AA$20</f>
        <v>0.0012267595818815332</v>
      </c>
      <c r="Q23" s="26">
        <f t="shared" si="24"/>
        <v>-1116.0320575609755</v>
      </c>
      <c r="R23" s="27">
        <f t="shared" si="25"/>
        <v>0</v>
      </c>
      <c r="S23" s="28">
        <f t="shared" si="26"/>
        <v>-1116.0320575609755</v>
      </c>
      <c r="T23" s="26">
        <f t="shared" si="27"/>
        <v>-1954.6504322425087</v>
      </c>
      <c r="U23" s="27">
        <f t="shared" si="28"/>
        <v>0</v>
      </c>
      <c r="V23" s="28">
        <f t="shared" si="29"/>
        <v>-1954.6504322425087</v>
      </c>
      <c r="W23" s="26">
        <f t="shared" si="30"/>
        <v>-122.23208249477352</v>
      </c>
      <c r="X23" s="27">
        <f t="shared" si="31"/>
        <v>0</v>
      </c>
      <c r="Y23" s="28">
        <f t="shared" si="32"/>
        <v>-122.23208249477352</v>
      </c>
      <c r="Z23" s="26">
        <f t="shared" si="33"/>
        <v>-477.23656556655055</v>
      </c>
      <c r="AA23" s="27">
        <f t="shared" si="34"/>
        <v>0</v>
      </c>
      <c r="AB23" s="28">
        <f t="shared" si="35"/>
        <v>-477.23656556655055</v>
      </c>
      <c r="AC23" s="26">
        <f t="shared" si="36"/>
        <v>-292.2941103135888</v>
      </c>
      <c r="AD23" s="27">
        <f t="shared" si="37"/>
        <v>0</v>
      </c>
      <c r="AE23" s="28">
        <f t="shared" si="38"/>
        <v>-292.2941103135888</v>
      </c>
      <c r="AF23" s="20">
        <f t="shared" si="5"/>
        <v>-1257.7048387096772</v>
      </c>
      <c r="AG23" s="20">
        <f t="shared" si="6"/>
        <v>0</v>
      </c>
      <c r="AH23" s="29">
        <f t="shared" si="7"/>
        <v>-2590.8719677419354</v>
      </c>
      <c r="AI23" s="29">
        <f t="shared" si="8"/>
        <v>306.87998064516125</v>
      </c>
      <c r="AJ23" s="29">
        <f t="shared" si="9"/>
        <v>0</v>
      </c>
      <c r="AK23" s="33">
        <f t="shared" si="10"/>
        <v>-116966.54999999999</v>
      </c>
      <c r="AL23" s="32">
        <f t="shared" si="11"/>
        <v>-8.3759746455</v>
      </c>
      <c r="AM23" s="68">
        <v>37.38</v>
      </c>
      <c r="AN23" s="29">
        <f t="shared" si="39"/>
        <v>-313.09393224879</v>
      </c>
      <c r="AO23" s="67">
        <f t="shared" si="3"/>
        <v>0.570286026811925</v>
      </c>
      <c r="AP23" s="31">
        <f t="shared" si="12"/>
        <v>-636.4574879011863</v>
      </c>
      <c r="AQ23" s="31">
        <f t="shared" si="13"/>
        <v>-1114.709828809792</v>
      </c>
      <c r="AR23" s="31">
        <f t="shared" si="14"/>
        <v>-69.70724867489184</v>
      </c>
      <c r="AS23" s="31">
        <f t="shared" si="15"/>
        <v>-272.16134482631685</v>
      </c>
      <c r="AT23" s="31">
        <f t="shared" si="16"/>
        <v>-166.69124683126307</v>
      </c>
      <c r="AU23" s="30">
        <f t="shared" si="40"/>
        <v>-1477.5380804619422</v>
      </c>
      <c r="AV23" s="30">
        <f t="shared" si="41"/>
        <v>175.00936487024944</v>
      </c>
      <c r="AW23" s="30">
        <f t="shared" si="42"/>
        <v>0</v>
      </c>
      <c r="AX23" s="30">
        <f t="shared" si="43"/>
        <v>-178.55309464108447</v>
      </c>
      <c r="AY23" s="67">
        <f t="shared" si="4"/>
        <v>0.2765083330108395</v>
      </c>
      <c r="AZ23" s="31">
        <f t="shared" si="17"/>
        <v>-308.5921638228426</v>
      </c>
      <c r="BA23" s="31">
        <f t="shared" si="18"/>
        <v>-540.4771326382929</v>
      </c>
      <c r="BB23" s="31">
        <f t="shared" si="19"/>
        <v>-33.79818937107324</v>
      </c>
      <c r="BC23" s="31">
        <f t="shared" si="20"/>
        <v>-131.9598871966251</v>
      </c>
      <c r="BD23" s="31">
        <f t="shared" si="21"/>
        <v>-80.82175719169688</v>
      </c>
      <c r="BE23" s="30">
        <f t="shared" si="44"/>
        <v>-716.397688844836</v>
      </c>
      <c r="BF23" s="30">
        <f t="shared" si="45"/>
        <v>84.85487188259222</v>
      </c>
      <c r="BG23" s="30">
        <f t="shared" si="46"/>
        <v>0</v>
      </c>
      <c r="BH23" s="30">
        <f t="shared" si="47"/>
        <v>-86.57308128192165</v>
      </c>
    </row>
    <row r="24" spans="1:60" s="9" customFormat="1" ht="15">
      <c r="A24" s="72">
        <v>2035</v>
      </c>
      <c r="B24" s="200">
        <v>20</v>
      </c>
      <c r="C24" s="70">
        <f t="shared" si="22"/>
        <v>16757</v>
      </c>
      <c r="D24" s="22">
        <f t="shared" si="1"/>
        <v>0</v>
      </c>
      <c r="E24" s="51">
        <f t="shared" si="2"/>
        <v>-7875.79</v>
      </c>
      <c r="F24" s="48">
        <f t="shared" si="23"/>
        <v>0</v>
      </c>
      <c r="G24" s="120">
        <f>'VMT Multipliers'!W$21</f>
        <v>0.14312195121951218</v>
      </c>
      <c r="H24" s="120">
        <f>'VMT Multipliers'!X$21</f>
        <v>0.25066787456445994</v>
      </c>
      <c r="I24" s="120">
        <f>'VMT Multipliers'!Y$21</f>
        <v>0.015675261324041814</v>
      </c>
      <c r="J24" s="120">
        <f>'VMT Multipliers'!Z$21</f>
        <v>0.061201672473867604</v>
      </c>
      <c r="K24" s="120">
        <f>'VMT Multipliers'!AA$21</f>
        <v>0.03748432055749129</v>
      </c>
      <c r="L24" s="118">
        <f>'VMT Multipliers'!W$20</f>
        <v>0.0013630662020905925</v>
      </c>
      <c r="M24" s="118">
        <f>'VMT Multipliers'!X$20</f>
        <v>0.10495609756097561</v>
      </c>
      <c r="N24" s="118">
        <f>'VMT Multipliers'!Y$20</f>
        <v>0.01622048780487805</v>
      </c>
      <c r="O24" s="118">
        <f>'VMT Multipliers'!Z$20</f>
        <v>0.01812878048780488</v>
      </c>
      <c r="P24" s="118">
        <f>'VMT Multipliers'!AA$20</f>
        <v>0.0012267595818815332</v>
      </c>
      <c r="Q24" s="26">
        <f t="shared" si="24"/>
        <v>-1127.1984321951218</v>
      </c>
      <c r="R24" s="27">
        <f t="shared" si="25"/>
        <v>0</v>
      </c>
      <c r="S24" s="28">
        <f t="shared" si="26"/>
        <v>-1127.1984321951218</v>
      </c>
      <c r="T24" s="26">
        <f t="shared" si="27"/>
        <v>-1974.207539816028</v>
      </c>
      <c r="U24" s="27">
        <f t="shared" si="28"/>
        <v>0</v>
      </c>
      <c r="V24" s="28">
        <f t="shared" si="29"/>
        <v>-1974.207539816028</v>
      </c>
      <c r="W24" s="26">
        <f t="shared" si="30"/>
        <v>-123.45506638327528</v>
      </c>
      <c r="X24" s="27">
        <f t="shared" si="31"/>
        <v>0</v>
      </c>
      <c r="Y24" s="28">
        <f t="shared" si="32"/>
        <v>-123.45506638327528</v>
      </c>
      <c r="Z24" s="26">
        <f t="shared" si="33"/>
        <v>-482.0115200529617</v>
      </c>
      <c r="AA24" s="27">
        <f t="shared" si="34"/>
        <v>0</v>
      </c>
      <c r="AB24" s="28">
        <f t="shared" si="35"/>
        <v>-482.0115200529617</v>
      </c>
      <c r="AC24" s="26">
        <f t="shared" si="36"/>
        <v>-295.21863700348433</v>
      </c>
      <c r="AD24" s="27">
        <f t="shared" si="37"/>
        <v>0</v>
      </c>
      <c r="AE24" s="28">
        <f t="shared" si="38"/>
        <v>-295.21863700348433</v>
      </c>
      <c r="AF24" s="20">
        <f t="shared" si="5"/>
        <v>-1270.2887096774193</v>
      </c>
      <c r="AG24" s="20">
        <f t="shared" si="6"/>
        <v>0</v>
      </c>
      <c r="AH24" s="29">
        <f t="shared" si="7"/>
        <v>-2616.7947419354837</v>
      </c>
      <c r="AI24" s="29">
        <f t="shared" si="8"/>
        <v>309.9504451612903</v>
      </c>
      <c r="AJ24" s="29">
        <f t="shared" si="9"/>
        <v>0</v>
      </c>
      <c r="AK24" s="33">
        <f t="shared" si="10"/>
        <v>-118136.85</v>
      </c>
      <c r="AL24" s="32">
        <f t="shared" si="11"/>
        <v>-8.4597798285</v>
      </c>
      <c r="AM24" s="68">
        <v>37.95</v>
      </c>
      <c r="AN24" s="29">
        <f t="shared" si="39"/>
        <v>-321.04864449157503</v>
      </c>
      <c r="AO24" s="67">
        <f t="shared" si="3"/>
        <v>0.553675754186335</v>
      </c>
      <c r="AP24" s="31">
        <f t="shared" si="12"/>
        <v>-624.1024420632884</v>
      </c>
      <c r="AQ24" s="31">
        <f t="shared" si="13"/>
        <v>-1093.0708485279881</v>
      </c>
      <c r="AR24" s="31">
        <f t="shared" si="14"/>
        <v>-68.35407698788399</v>
      </c>
      <c r="AS24" s="31">
        <f t="shared" si="15"/>
        <v>-266.8780918918253</v>
      </c>
      <c r="AT24" s="31">
        <f t="shared" si="16"/>
        <v>-163.45540149276604</v>
      </c>
      <c r="AU24" s="30">
        <f t="shared" si="40"/>
        <v>-1448.8558022919647</v>
      </c>
      <c r="AV24" s="30">
        <f t="shared" si="41"/>
        <v>171.61204648506768</v>
      </c>
      <c r="AW24" s="30">
        <f t="shared" si="42"/>
        <v>0</v>
      </c>
      <c r="AX24" s="30">
        <f t="shared" si="43"/>
        <v>-177.75685036937335</v>
      </c>
      <c r="AY24" s="67">
        <f t="shared" si="4"/>
        <v>0.2584190028138687</v>
      </c>
      <c r="AZ24" s="31">
        <f t="shared" si="17"/>
        <v>-291.2894948212196</v>
      </c>
      <c r="BA24" s="31">
        <f t="shared" si="18"/>
        <v>-510.1727437868789</v>
      </c>
      <c r="BB24" s="31">
        <f t="shared" si="19"/>
        <v>-31.903135147085962</v>
      </c>
      <c r="BC24" s="31">
        <f t="shared" si="20"/>
        <v>-124.56093635688345</v>
      </c>
      <c r="BD24" s="31">
        <f t="shared" si="21"/>
        <v>-76.2901057865099</v>
      </c>
      <c r="BE24" s="30">
        <f t="shared" si="44"/>
        <v>-676.2294877795426</v>
      </c>
      <c r="BF24" s="30">
        <f t="shared" si="45"/>
        <v>80.09708496029533</v>
      </c>
      <c r="BG24" s="30">
        <f t="shared" si="46"/>
        <v>0</v>
      </c>
      <c r="BH24" s="30">
        <f t="shared" si="47"/>
        <v>-82.96507056425706</v>
      </c>
    </row>
    <row r="25" spans="1:60" s="9" customFormat="1" ht="15">
      <c r="A25" s="71">
        <v>2036</v>
      </c>
      <c r="B25" s="15">
        <v>21</v>
      </c>
      <c r="C25" s="70">
        <f t="shared" si="22"/>
        <v>16925</v>
      </c>
      <c r="D25" s="22">
        <f t="shared" si="1"/>
        <v>0</v>
      </c>
      <c r="E25" s="51">
        <f t="shared" si="2"/>
        <v>-7954.75</v>
      </c>
      <c r="F25" s="48">
        <f t="shared" si="23"/>
        <v>0</v>
      </c>
      <c r="G25" s="120">
        <f>'VMT Multipliers'!W$21</f>
        <v>0.14312195121951218</v>
      </c>
      <c r="H25" s="120">
        <f>'VMT Multipliers'!X$21</f>
        <v>0.25066787456445994</v>
      </c>
      <c r="I25" s="120">
        <f>'VMT Multipliers'!Y$21</f>
        <v>0.015675261324041814</v>
      </c>
      <c r="J25" s="120">
        <f>'VMT Multipliers'!Z$21</f>
        <v>0.061201672473867604</v>
      </c>
      <c r="K25" s="120">
        <f>'VMT Multipliers'!AA$21</f>
        <v>0.03748432055749129</v>
      </c>
      <c r="L25" s="118">
        <f>'VMT Multipliers'!W$20</f>
        <v>0.0013630662020905925</v>
      </c>
      <c r="M25" s="118">
        <f>'VMT Multipliers'!X$20</f>
        <v>0.10495609756097561</v>
      </c>
      <c r="N25" s="118">
        <f>'VMT Multipliers'!Y$20</f>
        <v>0.01622048780487805</v>
      </c>
      <c r="O25" s="118">
        <f>'VMT Multipliers'!Z$20</f>
        <v>0.01812878048780488</v>
      </c>
      <c r="P25" s="118">
        <f>'VMT Multipliers'!AA$20</f>
        <v>0.0012267595818815332</v>
      </c>
      <c r="Q25" s="26">
        <f t="shared" si="24"/>
        <v>-1138.4993414634146</v>
      </c>
      <c r="R25" s="27">
        <f t="shared" si="25"/>
        <v>0</v>
      </c>
      <c r="S25" s="28">
        <f t="shared" si="26"/>
        <v>-1138.4993414634146</v>
      </c>
      <c r="T25" s="26">
        <f t="shared" si="27"/>
        <v>-1994.0002751916377</v>
      </c>
      <c r="U25" s="27">
        <f t="shared" si="28"/>
        <v>0</v>
      </c>
      <c r="V25" s="28">
        <f t="shared" si="29"/>
        <v>-1994.0002751916377</v>
      </c>
      <c r="W25" s="26">
        <f t="shared" si="30"/>
        <v>-124.69278501742161</v>
      </c>
      <c r="X25" s="27">
        <f t="shared" si="31"/>
        <v>0</v>
      </c>
      <c r="Y25" s="28">
        <f t="shared" si="32"/>
        <v>-124.69278501742161</v>
      </c>
      <c r="Z25" s="26">
        <f t="shared" si="33"/>
        <v>-486.8440041114983</v>
      </c>
      <c r="AA25" s="27">
        <f t="shared" si="34"/>
        <v>0</v>
      </c>
      <c r="AB25" s="28">
        <f t="shared" si="35"/>
        <v>-486.8440041114983</v>
      </c>
      <c r="AC25" s="26">
        <f t="shared" si="36"/>
        <v>-298.1783989547038</v>
      </c>
      <c r="AD25" s="27">
        <f t="shared" si="37"/>
        <v>0</v>
      </c>
      <c r="AE25" s="28">
        <f t="shared" si="38"/>
        <v>-298.1783989547038</v>
      </c>
      <c r="AF25" s="20">
        <f t="shared" si="5"/>
        <v>-1283.024193548387</v>
      </c>
      <c r="AG25" s="20">
        <f t="shared" si="6"/>
        <v>0</v>
      </c>
      <c r="AH25" s="29">
        <f t="shared" si="7"/>
        <v>-2643.0298387096773</v>
      </c>
      <c r="AI25" s="29">
        <f t="shared" si="8"/>
        <v>313.05790322580646</v>
      </c>
      <c r="AJ25" s="29">
        <f t="shared" si="9"/>
        <v>0</v>
      </c>
      <c r="AK25" s="33">
        <f t="shared" si="10"/>
        <v>-119321.25</v>
      </c>
      <c r="AL25" s="32">
        <f t="shared" si="11"/>
        <v>-8.5445947125</v>
      </c>
      <c r="AM25" s="68">
        <v>38.52</v>
      </c>
      <c r="AN25" s="29">
        <f t="shared" si="39"/>
        <v>-329.1377883255</v>
      </c>
      <c r="AO25" s="67">
        <f t="shared" si="3"/>
        <v>0.5375492759090631</v>
      </c>
      <c r="AP25" s="31">
        <f t="shared" si="12"/>
        <v>-611.9994966266037</v>
      </c>
      <c r="AQ25" s="31">
        <f t="shared" si="13"/>
        <v>-1071.8734040917375</v>
      </c>
      <c r="AR25" s="31">
        <f t="shared" si="14"/>
        <v>-67.02851629719946</v>
      </c>
      <c r="AS25" s="31">
        <f t="shared" si="15"/>
        <v>-261.70264189080484</v>
      </c>
      <c r="AT25" s="31">
        <f t="shared" si="16"/>
        <v>-160.28558244982477</v>
      </c>
      <c r="AU25" s="30">
        <f t="shared" si="40"/>
        <v>-1420.7587760044348</v>
      </c>
      <c r="AV25" s="30">
        <f t="shared" si="41"/>
        <v>168.2840491966418</v>
      </c>
      <c r="AW25" s="30">
        <f t="shared" si="42"/>
        <v>0</v>
      </c>
      <c r="AX25" s="30">
        <f t="shared" si="43"/>
        <v>-176.927779788683</v>
      </c>
      <c r="AY25" s="67">
        <f t="shared" si="4"/>
        <v>0.24151308674193336</v>
      </c>
      <c r="AZ25" s="31">
        <f t="shared" si="17"/>
        <v>-274.96249021048766</v>
      </c>
      <c r="BA25" s="31">
        <f t="shared" si="18"/>
        <v>-481.577161425797</v>
      </c>
      <c r="BB25" s="31">
        <f t="shared" si="19"/>
        <v>-30.114939404005796</v>
      </c>
      <c r="BC25" s="31">
        <f t="shared" si="20"/>
        <v>-117.57919819477046</v>
      </c>
      <c r="BD25" s="31">
        <f t="shared" si="21"/>
        <v>-72.0139855313182</v>
      </c>
      <c r="BE25" s="30">
        <f t="shared" si="44"/>
        <v>-638.3262946978084</v>
      </c>
      <c r="BF25" s="30">
        <f t="shared" si="45"/>
        <v>75.60758053702197</v>
      </c>
      <c r="BG25" s="30">
        <f t="shared" si="46"/>
        <v>0</v>
      </c>
      <c r="BH25" s="30">
        <f t="shared" si="47"/>
        <v>-79.49108322190459</v>
      </c>
    </row>
    <row r="26" spans="1:60" s="9" customFormat="1" ht="15">
      <c r="A26" s="72">
        <v>2037</v>
      </c>
      <c r="B26" s="200">
        <v>22</v>
      </c>
      <c r="C26" s="70">
        <f t="shared" si="22"/>
        <v>17094</v>
      </c>
      <c r="D26" s="22">
        <f t="shared" si="1"/>
        <v>0</v>
      </c>
      <c r="E26" s="51">
        <f t="shared" si="2"/>
        <v>-8034.179999999999</v>
      </c>
      <c r="F26" s="48">
        <f t="shared" si="23"/>
        <v>0</v>
      </c>
      <c r="G26" s="120">
        <f>'VMT Multipliers'!W$21</f>
        <v>0.14312195121951218</v>
      </c>
      <c r="H26" s="120">
        <f>'VMT Multipliers'!X$21</f>
        <v>0.25066787456445994</v>
      </c>
      <c r="I26" s="120">
        <f>'VMT Multipliers'!Y$21</f>
        <v>0.015675261324041814</v>
      </c>
      <c r="J26" s="120">
        <f>'VMT Multipliers'!Z$21</f>
        <v>0.061201672473867604</v>
      </c>
      <c r="K26" s="120">
        <f>'VMT Multipliers'!AA$21</f>
        <v>0.03748432055749129</v>
      </c>
      <c r="L26" s="118">
        <f>'VMT Multipliers'!W$20</f>
        <v>0.0013630662020905925</v>
      </c>
      <c r="M26" s="118">
        <f>'VMT Multipliers'!X$20</f>
        <v>0.10495609756097561</v>
      </c>
      <c r="N26" s="118">
        <f>'VMT Multipliers'!Y$20</f>
        <v>0.01622048780487805</v>
      </c>
      <c r="O26" s="118">
        <f>'VMT Multipliers'!Z$20</f>
        <v>0.01812878048780488</v>
      </c>
      <c r="P26" s="118">
        <f>'VMT Multipliers'!AA$20</f>
        <v>0.0012267595818815332</v>
      </c>
      <c r="Q26" s="26">
        <f t="shared" si="24"/>
        <v>-1149.8675180487803</v>
      </c>
      <c r="R26" s="27">
        <f t="shared" si="25"/>
        <v>0</v>
      </c>
      <c r="S26" s="28">
        <f t="shared" si="26"/>
        <v>-1149.8675180487803</v>
      </c>
      <c r="T26" s="26">
        <f t="shared" si="27"/>
        <v>-2013.9108244682925</v>
      </c>
      <c r="U26" s="27">
        <f t="shared" si="28"/>
        <v>0</v>
      </c>
      <c r="V26" s="28">
        <f t="shared" si="29"/>
        <v>-2013.9108244682925</v>
      </c>
      <c r="W26" s="26">
        <f t="shared" si="30"/>
        <v>-125.93787102439025</v>
      </c>
      <c r="X26" s="27">
        <f t="shared" si="31"/>
        <v>0</v>
      </c>
      <c r="Y26" s="28">
        <f t="shared" si="32"/>
        <v>-125.93787102439025</v>
      </c>
      <c r="Z26" s="26">
        <f t="shared" si="33"/>
        <v>-491.7052529560976</v>
      </c>
      <c r="AA26" s="27">
        <f t="shared" si="34"/>
        <v>0</v>
      </c>
      <c r="AB26" s="28">
        <f t="shared" si="35"/>
        <v>-491.7052529560976</v>
      </c>
      <c r="AC26" s="26">
        <f t="shared" si="36"/>
        <v>-301.15577853658533</v>
      </c>
      <c r="AD26" s="27">
        <f t="shared" si="37"/>
        <v>0</v>
      </c>
      <c r="AE26" s="28">
        <f t="shared" si="38"/>
        <v>-301.15577853658533</v>
      </c>
      <c r="AF26" s="20">
        <f t="shared" si="5"/>
        <v>-1295.8354838709677</v>
      </c>
      <c r="AG26" s="20">
        <f t="shared" si="6"/>
        <v>0</v>
      </c>
      <c r="AH26" s="29">
        <f t="shared" si="7"/>
        <v>-2669.4210967741933</v>
      </c>
      <c r="AI26" s="29">
        <f t="shared" si="8"/>
        <v>316.18385806451613</v>
      </c>
      <c r="AJ26" s="29">
        <f t="shared" si="9"/>
        <v>0</v>
      </c>
      <c r="AK26" s="33">
        <f t="shared" si="10"/>
        <v>-120512.7</v>
      </c>
      <c r="AL26" s="32">
        <f t="shared" si="11"/>
        <v>-8.629914447</v>
      </c>
      <c r="AM26" s="68">
        <v>39.09</v>
      </c>
      <c r="AN26" s="29">
        <f t="shared" si="39"/>
        <v>-337.34335573323006</v>
      </c>
      <c r="AO26" s="67">
        <f t="shared" si="3"/>
        <v>0.5218925008825855</v>
      </c>
      <c r="AP26" s="31">
        <f t="shared" si="12"/>
        <v>-600.1072346781295</v>
      </c>
      <c r="AQ26" s="31">
        <f t="shared" si="13"/>
        <v>-1051.0449567362668</v>
      </c>
      <c r="AR26" s="31">
        <f t="shared" si="14"/>
        <v>-65.72603046474754</v>
      </c>
      <c r="AS26" s="31">
        <f t="shared" si="15"/>
        <v>-256.6172841623621</v>
      </c>
      <c r="AT26" s="31">
        <f t="shared" si="16"/>
        <v>-157.1709424157006</v>
      </c>
      <c r="AU26" s="30">
        <f t="shared" si="40"/>
        <v>-1393.150852104218</v>
      </c>
      <c r="AV26" s="30">
        <f t="shared" si="41"/>
        <v>165.0139844239948</v>
      </c>
      <c r="AW26" s="30">
        <f t="shared" si="42"/>
        <v>0</v>
      </c>
      <c r="AX26" s="30">
        <f t="shared" si="43"/>
        <v>-176.05696757973914</v>
      </c>
      <c r="AY26" s="67">
        <f t="shared" si="4"/>
        <v>0.22571316517937698</v>
      </c>
      <c r="AZ26" s="31">
        <f t="shared" si="17"/>
        <v>-259.5402370357446</v>
      </c>
      <c r="BA26" s="31">
        <f t="shared" si="18"/>
        <v>-454.56618657974695</v>
      </c>
      <c r="BB26" s="31">
        <f t="shared" si="19"/>
        <v>-28.42583548486727</v>
      </c>
      <c r="BC26" s="31">
        <f t="shared" si="20"/>
        <v>-110.98434898004699</v>
      </c>
      <c r="BD26" s="31">
        <f t="shared" si="21"/>
        <v>-67.97482398555216</v>
      </c>
      <c r="BE26" s="30">
        <f t="shared" si="44"/>
        <v>-602.5234849495072</v>
      </c>
      <c r="BF26" s="30">
        <f t="shared" si="45"/>
        <v>71.36685938236882</v>
      </c>
      <c r="BG26" s="30">
        <f t="shared" si="46"/>
        <v>0</v>
      </c>
      <c r="BH26" s="30">
        <f t="shared" si="47"/>
        <v>-76.14283657477988</v>
      </c>
    </row>
    <row r="27" spans="1:60" s="9" customFormat="1" ht="15">
      <c r="A27" s="71">
        <v>2038</v>
      </c>
      <c r="B27" s="15">
        <v>23</v>
      </c>
      <c r="C27" s="70">
        <f t="shared" si="22"/>
        <v>17265</v>
      </c>
      <c r="D27" s="22">
        <f t="shared" si="1"/>
        <v>0</v>
      </c>
      <c r="E27" s="51">
        <f t="shared" si="2"/>
        <v>-8114.549999999999</v>
      </c>
      <c r="F27" s="48">
        <f t="shared" si="23"/>
        <v>0</v>
      </c>
      <c r="G27" s="120">
        <f>'VMT Multipliers'!W$21</f>
        <v>0.14312195121951218</v>
      </c>
      <c r="H27" s="120">
        <f>'VMT Multipliers'!X$21</f>
        <v>0.25066787456445994</v>
      </c>
      <c r="I27" s="120">
        <f>'VMT Multipliers'!Y$21</f>
        <v>0.015675261324041814</v>
      </c>
      <c r="J27" s="120">
        <f>'VMT Multipliers'!Z$21</f>
        <v>0.061201672473867604</v>
      </c>
      <c r="K27" s="120">
        <f>'VMT Multipliers'!AA$21</f>
        <v>0.03748432055749129</v>
      </c>
      <c r="L27" s="118">
        <f>'VMT Multipliers'!W$20</f>
        <v>0.0013630662020905925</v>
      </c>
      <c r="M27" s="118">
        <f>'VMT Multipliers'!X$20</f>
        <v>0.10495609756097561</v>
      </c>
      <c r="N27" s="118">
        <f>'VMT Multipliers'!Y$20</f>
        <v>0.01622048780487805</v>
      </c>
      <c r="O27" s="118">
        <f>'VMT Multipliers'!Z$20</f>
        <v>0.01812878048780488</v>
      </c>
      <c r="P27" s="118">
        <f>'VMT Multipliers'!AA$20</f>
        <v>0.0012267595818815332</v>
      </c>
      <c r="Q27" s="26">
        <f t="shared" si="24"/>
        <v>-1161.3702292682924</v>
      </c>
      <c r="R27" s="27">
        <f t="shared" si="25"/>
        <v>0</v>
      </c>
      <c r="S27" s="28">
        <f t="shared" si="26"/>
        <v>-1161.3702292682924</v>
      </c>
      <c r="T27" s="26">
        <f t="shared" si="27"/>
        <v>-2034.0570015470382</v>
      </c>
      <c r="U27" s="27">
        <f t="shared" si="28"/>
        <v>0</v>
      </c>
      <c r="V27" s="28">
        <f t="shared" si="29"/>
        <v>-2034.0570015470382</v>
      </c>
      <c r="W27" s="26">
        <f t="shared" si="30"/>
        <v>-127.19769177700348</v>
      </c>
      <c r="X27" s="27">
        <f t="shared" si="31"/>
        <v>0</v>
      </c>
      <c r="Y27" s="28">
        <f t="shared" si="32"/>
        <v>-127.19769177700348</v>
      </c>
      <c r="Z27" s="26">
        <f t="shared" si="33"/>
        <v>-496.62403137282234</v>
      </c>
      <c r="AA27" s="27">
        <f t="shared" si="34"/>
        <v>0</v>
      </c>
      <c r="AB27" s="28">
        <f t="shared" si="35"/>
        <v>-496.62403137282234</v>
      </c>
      <c r="AC27" s="26">
        <f t="shared" si="36"/>
        <v>-304.1683933797909</v>
      </c>
      <c r="AD27" s="27">
        <f t="shared" si="37"/>
        <v>0</v>
      </c>
      <c r="AE27" s="28">
        <f t="shared" si="38"/>
        <v>-304.1683933797909</v>
      </c>
      <c r="AF27" s="20">
        <f t="shared" si="5"/>
        <v>-1308.7983870967741</v>
      </c>
      <c r="AG27" s="20">
        <f t="shared" si="6"/>
        <v>0</v>
      </c>
      <c r="AH27" s="29">
        <f t="shared" si="7"/>
        <v>-2696.1246774193546</v>
      </c>
      <c r="AI27" s="29">
        <f t="shared" si="8"/>
        <v>319.3468064516129</v>
      </c>
      <c r="AJ27" s="29">
        <f t="shared" si="9"/>
        <v>0</v>
      </c>
      <c r="AK27" s="33">
        <f t="shared" si="10"/>
        <v>-121718.24999999999</v>
      </c>
      <c r="AL27" s="32">
        <f t="shared" si="11"/>
        <v>-8.716243882499999</v>
      </c>
      <c r="AM27" s="68">
        <v>39.66</v>
      </c>
      <c r="AN27" s="29">
        <f t="shared" si="39"/>
        <v>-345.6862323799499</v>
      </c>
      <c r="AO27" s="67">
        <f t="shared" si="3"/>
        <v>0.5066917484296947</v>
      </c>
      <c r="AP27" s="31">
        <f t="shared" si="12"/>
        <v>-588.4567120421465</v>
      </c>
      <c r="AQ27" s="31">
        <f t="shared" si="13"/>
        <v>-1030.639898519531</v>
      </c>
      <c r="AR27" s="31">
        <f t="shared" si="14"/>
        <v>-64.4500208427113</v>
      </c>
      <c r="AS27" s="31">
        <f t="shared" si="15"/>
        <v>-251.6352987684989</v>
      </c>
      <c r="AT27" s="31">
        <f t="shared" si="16"/>
        <v>-154.11961505865742</v>
      </c>
      <c r="AU27" s="30">
        <f t="shared" si="40"/>
        <v>-1366.1041267860594</v>
      </c>
      <c r="AV27" s="30">
        <f t="shared" si="41"/>
        <v>161.81039171640705</v>
      </c>
      <c r="AW27" s="30">
        <f t="shared" si="42"/>
        <v>0</v>
      </c>
      <c r="AX27" s="30">
        <f t="shared" si="43"/>
        <v>-175.15636149267056</v>
      </c>
      <c r="AY27" s="67">
        <f t="shared" si="4"/>
        <v>0.2109468833452121</v>
      </c>
      <c r="AZ27" s="31">
        <f t="shared" si="17"/>
        <v>-244.98743027406073</v>
      </c>
      <c r="BA27" s="31">
        <f t="shared" si="18"/>
        <v>-429.077985022855</v>
      </c>
      <c r="BB27" s="31">
        <f t="shared" si="19"/>
        <v>-26.831956649063798</v>
      </c>
      <c r="BC27" s="31">
        <f t="shared" si="20"/>
        <v>-104.76129161243172</v>
      </c>
      <c r="BD27" s="31">
        <f t="shared" si="21"/>
        <v>-64.16337459558734</v>
      </c>
      <c r="BE27" s="30">
        <f t="shared" si="44"/>
        <v>-568.7390978117282</v>
      </c>
      <c r="BF27" s="30">
        <f t="shared" si="45"/>
        <v>67.36521352721442</v>
      </c>
      <c r="BG27" s="30">
        <f t="shared" si="46"/>
        <v>0</v>
      </c>
      <c r="BH27" s="30">
        <f t="shared" si="47"/>
        <v>-72.92143333589918</v>
      </c>
    </row>
    <row r="28" spans="1:60" s="9" customFormat="1" ht="15">
      <c r="A28" s="72">
        <v>2039</v>
      </c>
      <c r="B28" s="200">
        <v>24</v>
      </c>
      <c r="C28" s="70">
        <f t="shared" si="22"/>
        <v>17437</v>
      </c>
      <c r="D28" s="22">
        <f t="shared" si="1"/>
        <v>0</v>
      </c>
      <c r="E28" s="51">
        <f t="shared" si="2"/>
        <v>-8195.39</v>
      </c>
      <c r="F28" s="48">
        <f t="shared" si="23"/>
        <v>0</v>
      </c>
      <c r="G28" s="120">
        <f>'VMT Multipliers'!W$21</f>
        <v>0.14312195121951218</v>
      </c>
      <c r="H28" s="120">
        <f>'VMT Multipliers'!X$21</f>
        <v>0.25066787456445994</v>
      </c>
      <c r="I28" s="120">
        <f>'VMT Multipliers'!Y$21</f>
        <v>0.015675261324041814</v>
      </c>
      <c r="J28" s="120">
        <f>'VMT Multipliers'!Z$21</f>
        <v>0.061201672473867604</v>
      </c>
      <c r="K28" s="120">
        <f>'VMT Multipliers'!AA$21</f>
        <v>0.03748432055749129</v>
      </c>
      <c r="L28" s="118">
        <f>'VMT Multipliers'!W$20</f>
        <v>0.0013630662020905925</v>
      </c>
      <c r="M28" s="118">
        <f>'VMT Multipliers'!X$20</f>
        <v>0.10495609756097561</v>
      </c>
      <c r="N28" s="118">
        <f>'VMT Multipliers'!Y$20</f>
        <v>0.01622048780487805</v>
      </c>
      <c r="O28" s="118">
        <f>'VMT Multipliers'!Z$20</f>
        <v>0.01812878048780488</v>
      </c>
      <c r="P28" s="118">
        <f>'VMT Multipliers'!AA$20</f>
        <v>0.0012267595818815332</v>
      </c>
      <c r="Q28" s="26">
        <f t="shared" si="24"/>
        <v>-1172.940207804878</v>
      </c>
      <c r="R28" s="27">
        <f t="shared" si="25"/>
        <v>0</v>
      </c>
      <c r="S28" s="28">
        <f t="shared" si="26"/>
        <v>-1172.940207804878</v>
      </c>
      <c r="T28" s="26">
        <f t="shared" si="27"/>
        <v>-2054.3209925268293</v>
      </c>
      <c r="U28" s="27">
        <f t="shared" si="28"/>
        <v>0</v>
      </c>
      <c r="V28" s="28">
        <f t="shared" si="29"/>
        <v>-2054.3209925268293</v>
      </c>
      <c r="W28" s="26">
        <f t="shared" si="30"/>
        <v>-128.46487990243904</v>
      </c>
      <c r="X28" s="27">
        <f t="shared" si="31"/>
        <v>0</v>
      </c>
      <c r="Y28" s="28">
        <f t="shared" si="32"/>
        <v>-128.46487990243904</v>
      </c>
      <c r="Z28" s="26">
        <f t="shared" si="33"/>
        <v>-501.57157457560976</v>
      </c>
      <c r="AA28" s="27">
        <f t="shared" si="34"/>
        <v>0</v>
      </c>
      <c r="AB28" s="28">
        <f t="shared" si="35"/>
        <v>-501.57157457560976</v>
      </c>
      <c r="AC28" s="26">
        <f t="shared" si="36"/>
        <v>-307.19862585365854</v>
      </c>
      <c r="AD28" s="27">
        <f t="shared" si="37"/>
        <v>0</v>
      </c>
      <c r="AE28" s="28">
        <f t="shared" si="38"/>
        <v>-307.19862585365854</v>
      </c>
      <c r="AF28" s="20">
        <f t="shared" si="5"/>
        <v>-1321.8370967741935</v>
      </c>
      <c r="AG28" s="20">
        <f t="shared" si="6"/>
        <v>0</v>
      </c>
      <c r="AH28" s="29">
        <f t="shared" si="7"/>
        <v>-2722.984419354839</v>
      </c>
      <c r="AI28" s="29">
        <f t="shared" si="8"/>
        <v>322.5282516129032</v>
      </c>
      <c r="AJ28" s="29">
        <f t="shared" si="9"/>
        <v>0</v>
      </c>
      <c r="AK28" s="33">
        <f t="shared" si="10"/>
        <v>-122930.84999999999</v>
      </c>
      <c r="AL28" s="32">
        <f t="shared" si="11"/>
        <v>-8.803078168499999</v>
      </c>
      <c r="AM28" s="68">
        <v>40.23</v>
      </c>
      <c r="AN28" s="29">
        <f t="shared" si="39"/>
        <v>-354.14783471875495</v>
      </c>
      <c r="AO28" s="67">
        <f t="shared" si="3"/>
        <v>0.49193373633950943</v>
      </c>
      <c r="AP28" s="31">
        <f t="shared" si="12"/>
        <v>-577.0088589282942</v>
      </c>
      <c r="AQ28" s="31">
        <f t="shared" si="13"/>
        <v>-1010.5898014944125</v>
      </c>
      <c r="AR28" s="31">
        <f t="shared" si="14"/>
        <v>-63.19620835881319</v>
      </c>
      <c r="AS28" s="31">
        <f t="shared" si="15"/>
        <v>-246.7399787226706</v>
      </c>
      <c r="AT28" s="31">
        <f t="shared" si="16"/>
        <v>-151.12136781455325</v>
      </c>
      <c r="AU28" s="30">
        <f t="shared" si="40"/>
        <v>-1339.5278994074954</v>
      </c>
      <c r="AV28" s="30">
        <f t="shared" si="41"/>
        <v>158.66252789098488</v>
      </c>
      <c r="AW28" s="30">
        <f t="shared" si="42"/>
        <v>0</v>
      </c>
      <c r="AX28" s="30">
        <f t="shared" si="43"/>
        <v>-174.21726754974415</v>
      </c>
      <c r="AY28" s="67">
        <f t="shared" si="4"/>
        <v>0.19714661994879637</v>
      </c>
      <c r="AZ28" s="31">
        <f t="shared" si="17"/>
        <v>-231.2411973707705</v>
      </c>
      <c r="BA28" s="31">
        <f t="shared" si="18"/>
        <v>-405.00243996652097</v>
      </c>
      <c r="BB28" s="31">
        <f t="shared" si="19"/>
        <v>-25.326416854893917</v>
      </c>
      <c r="BC28" s="31">
        <f t="shared" si="20"/>
        <v>-98.88314058997712</v>
      </c>
      <c r="BD28" s="31">
        <f t="shared" si="21"/>
        <v>-60.56317073996371</v>
      </c>
      <c r="BE28" s="30">
        <f t="shared" si="44"/>
        <v>-536.8271744490423</v>
      </c>
      <c r="BF28" s="30">
        <f t="shared" si="45"/>
        <v>63.585354643478794</v>
      </c>
      <c r="BG28" s="30">
        <f t="shared" si="46"/>
        <v>0</v>
      </c>
      <c r="BH28" s="30">
        <f t="shared" si="47"/>
        <v>-69.81904857698754</v>
      </c>
    </row>
    <row r="29" spans="1:60" s="9" customFormat="1" ht="15">
      <c r="A29" s="71">
        <v>2040</v>
      </c>
      <c r="B29" s="15">
        <v>25</v>
      </c>
      <c r="C29" s="70">
        <f t="shared" si="22"/>
        <v>17612</v>
      </c>
      <c r="D29" s="22">
        <f t="shared" si="1"/>
        <v>0</v>
      </c>
      <c r="E29" s="51">
        <f t="shared" si="2"/>
        <v>-8277.64</v>
      </c>
      <c r="F29" s="48">
        <f t="shared" si="23"/>
        <v>0</v>
      </c>
      <c r="G29" s="120">
        <f>'VMT Multipliers'!W$21</f>
        <v>0.14312195121951218</v>
      </c>
      <c r="H29" s="120">
        <f>'VMT Multipliers'!X$21</f>
        <v>0.25066787456445994</v>
      </c>
      <c r="I29" s="120">
        <f>'VMT Multipliers'!Y$21</f>
        <v>0.015675261324041814</v>
      </c>
      <c r="J29" s="120">
        <f>'VMT Multipliers'!Z$21</f>
        <v>0.061201672473867604</v>
      </c>
      <c r="K29" s="120">
        <f>'VMT Multipliers'!AA$21</f>
        <v>0.03748432055749129</v>
      </c>
      <c r="L29" s="118">
        <f>'VMT Multipliers'!W$20</f>
        <v>0.0013630662020905925</v>
      </c>
      <c r="M29" s="118">
        <f>'VMT Multipliers'!X$20</f>
        <v>0.10495609756097561</v>
      </c>
      <c r="N29" s="118">
        <f>'VMT Multipliers'!Y$20</f>
        <v>0.01622048780487805</v>
      </c>
      <c r="O29" s="118">
        <f>'VMT Multipliers'!Z$20</f>
        <v>0.01812878048780488</v>
      </c>
      <c r="P29" s="118">
        <f>'VMT Multipliers'!AA$20</f>
        <v>0.0012267595818815332</v>
      </c>
      <c r="Q29" s="26">
        <f t="shared" si="24"/>
        <v>-1184.7119882926827</v>
      </c>
      <c r="R29" s="27">
        <f t="shared" si="25"/>
        <v>0</v>
      </c>
      <c r="S29" s="28">
        <f t="shared" si="26"/>
        <v>-1184.7119882926827</v>
      </c>
      <c r="T29" s="26">
        <f t="shared" si="27"/>
        <v>-2074.938425209756</v>
      </c>
      <c r="U29" s="27">
        <f t="shared" si="28"/>
        <v>0</v>
      </c>
      <c r="V29" s="28">
        <f t="shared" si="29"/>
        <v>-2074.938425209756</v>
      </c>
      <c r="W29" s="26">
        <f t="shared" si="30"/>
        <v>-129.75417014634147</v>
      </c>
      <c r="X29" s="27">
        <f t="shared" si="31"/>
        <v>0</v>
      </c>
      <c r="Y29" s="28">
        <f t="shared" si="32"/>
        <v>-129.75417014634147</v>
      </c>
      <c r="Z29" s="26">
        <f t="shared" si="33"/>
        <v>-506.6054121365854</v>
      </c>
      <c r="AA29" s="27">
        <f t="shared" si="34"/>
        <v>0</v>
      </c>
      <c r="AB29" s="28">
        <f t="shared" si="35"/>
        <v>-506.6054121365854</v>
      </c>
      <c r="AC29" s="26">
        <f t="shared" si="36"/>
        <v>-310.2817112195122</v>
      </c>
      <c r="AD29" s="27">
        <f t="shared" si="37"/>
        <v>0</v>
      </c>
      <c r="AE29" s="28">
        <f t="shared" si="38"/>
        <v>-310.2817112195122</v>
      </c>
      <c r="AF29" s="20">
        <f t="shared" si="5"/>
        <v>-1335.1032258064515</v>
      </c>
      <c r="AG29" s="20">
        <f t="shared" si="6"/>
        <v>0</v>
      </c>
      <c r="AH29" s="29">
        <f t="shared" si="7"/>
        <v>-2750.31264516129</v>
      </c>
      <c r="AI29" s="29">
        <f t="shared" si="8"/>
        <v>325.7651870967742</v>
      </c>
      <c r="AJ29" s="29">
        <f t="shared" si="9"/>
        <v>0</v>
      </c>
      <c r="AK29" s="33">
        <f t="shared" si="10"/>
        <v>-124164.59999999999</v>
      </c>
      <c r="AL29" s="32">
        <f t="shared" si="11"/>
        <v>-8.891427005999999</v>
      </c>
      <c r="AM29" s="68">
        <v>40.8</v>
      </c>
      <c r="AN29" s="29">
        <f t="shared" si="39"/>
        <v>-362.77022184479995</v>
      </c>
      <c r="AO29" s="67">
        <f t="shared" si="3"/>
        <v>0.47760556926165965</v>
      </c>
      <c r="AP29" s="31">
        <f t="shared" si="12"/>
        <v>-565.8250435796393</v>
      </c>
      <c r="AQ29" s="31">
        <f t="shared" si="13"/>
        <v>-991.0021477551971</v>
      </c>
      <c r="AR29" s="31">
        <f t="shared" si="14"/>
        <v>-61.97131429681766</v>
      </c>
      <c r="AS29" s="31">
        <f t="shared" si="15"/>
        <v>-241.95756625453157</v>
      </c>
      <c r="AT29" s="31">
        <f t="shared" si="16"/>
        <v>-148.19227331847702</v>
      </c>
      <c r="AU29" s="30">
        <f t="shared" si="40"/>
        <v>-1313.564636539799</v>
      </c>
      <c r="AV29" s="30">
        <f t="shared" si="41"/>
        <v>155.5872676289859</v>
      </c>
      <c r="AW29" s="30">
        <f t="shared" si="42"/>
        <v>0</v>
      </c>
      <c r="AX29" s="30">
        <f t="shared" si="43"/>
        <v>-173.26107831536424</v>
      </c>
      <c r="AY29" s="67">
        <f t="shared" si="4"/>
        <v>0.18424917752223957</v>
      </c>
      <c r="AZ29" s="31">
        <f t="shared" si="17"/>
        <v>-218.2822094436639</v>
      </c>
      <c r="BA29" s="31">
        <f t="shared" si="18"/>
        <v>-382.3056982541886</v>
      </c>
      <c r="BB29" s="31">
        <f t="shared" si="19"/>
        <v>-23.907099129544147</v>
      </c>
      <c r="BC29" s="31">
        <f t="shared" si="20"/>
        <v>-93.34163051448107</v>
      </c>
      <c r="BD29" s="31">
        <f t="shared" si="21"/>
        <v>-57.16915009238818</v>
      </c>
      <c r="BE29" s="30">
        <f t="shared" si="44"/>
        <v>-506.74284279998284</v>
      </c>
      <c r="BF29" s="30">
        <f t="shared" si="45"/>
        <v>60.021967787959134</v>
      </c>
      <c r="BG29" s="30">
        <f t="shared" si="46"/>
        <v>0</v>
      </c>
      <c r="BH29" s="30">
        <f t="shared" si="47"/>
        <v>-66.84011500446478</v>
      </c>
    </row>
    <row r="30" spans="1:60" s="9" customFormat="1" ht="15">
      <c r="A30" s="72">
        <v>2041</v>
      </c>
      <c r="B30" s="200">
        <v>26</v>
      </c>
      <c r="C30" s="70">
        <f t="shared" si="22"/>
        <v>17788</v>
      </c>
      <c r="D30" s="22">
        <f t="shared" si="1"/>
        <v>0</v>
      </c>
      <c r="E30" s="51">
        <f t="shared" si="2"/>
        <v>-8360.359999999999</v>
      </c>
      <c r="F30" s="48">
        <f t="shared" si="23"/>
        <v>0</v>
      </c>
      <c r="G30" s="120">
        <f>'VMT Multipliers'!W$21</f>
        <v>0.14312195121951218</v>
      </c>
      <c r="H30" s="120">
        <f>'VMT Multipliers'!X$21</f>
        <v>0.25066787456445994</v>
      </c>
      <c r="I30" s="120">
        <f>'VMT Multipliers'!Y$21</f>
        <v>0.015675261324041814</v>
      </c>
      <c r="J30" s="120">
        <f>'VMT Multipliers'!Z$21</f>
        <v>0.061201672473867604</v>
      </c>
      <c r="K30" s="120">
        <f>'VMT Multipliers'!AA$21</f>
        <v>0.03748432055749129</v>
      </c>
      <c r="L30" s="118">
        <f>'VMT Multipliers'!W$20</f>
        <v>0.0013630662020905925</v>
      </c>
      <c r="M30" s="118">
        <f>'VMT Multipliers'!X$20</f>
        <v>0.10495609756097561</v>
      </c>
      <c r="N30" s="118">
        <f>'VMT Multipliers'!Y$20</f>
        <v>0.01622048780487805</v>
      </c>
      <c r="O30" s="118">
        <f>'VMT Multipliers'!Z$20</f>
        <v>0.01812878048780488</v>
      </c>
      <c r="P30" s="118">
        <f>'VMT Multipliers'!AA$20</f>
        <v>0.0012267595818815332</v>
      </c>
      <c r="Q30" s="26">
        <f t="shared" si="24"/>
        <v>-1196.5510360975607</v>
      </c>
      <c r="R30" s="27">
        <f t="shared" si="25"/>
        <v>0</v>
      </c>
      <c r="S30" s="28">
        <f t="shared" si="26"/>
        <v>-1196.5510360975607</v>
      </c>
      <c r="T30" s="26">
        <f t="shared" si="27"/>
        <v>-2095.673671793728</v>
      </c>
      <c r="U30" s="27">
        <f t="shared" si="28"/>
        <v>0</v>
      </c>
      <c r="V30" s="28">
        <f t="shared" si="29"/>
        <v>-2095.673671793728</v>
      </c>
      <c r="W30" s="26">
        <f t="shared" si="30"/>
        <v>-131.0508277630662</v>
      </c>
      <c r="X30" s="27">
        <f t="shared" si="31"/>
        <v>0</v>
      </c>
      <c r="Y30" s="28">
        <f t="shared" si="32"/>
        <v>-131.0508277630662</v>
      </c>
      <c r="Z30" s="26">
        <f t="shared" si="33"/>
        <v>-511.66801448362367</v>
      </c>
      <c r="AA30" s="27">
        <f t="shared" si="34"/>
        <v>0</v>
      </c>
      <c r="AB30" s="28">
        <f t="shared" si="35"/>
        <v>-511.66801448362367</v>
      </c>
      <c r="AC30" s="26">
        <f t="shared" si="36"/>
        <v>-313.3824142160278</v>
      </c>
      <c r="AD30" s="27">
        <f t="shared" si="37"/>
        <v>0</v>
      </c>
      <c r="AE30" s="28">
        <f t="shared" si="38"/>
        <v>-313.3824142160278</v>
      </c>
      <c r="AF30" s="20">
        <f t="shared" si="5"/>
        <v>-1348.4451612903224</v>
      </c>
      <c r="AG30" s="20">
        <f t="shared" si="6"/>
        <v>0</v>
      </c>
      <c r="AH30" s="29">
        <f t="shared" si="7"/>
        <v>-2777.797032258064</v>
      </c>
      <c r="AI30" s="29">
        <f t="shared" si="8"/>
        <v>329.0206193548387</v>
      </c>
      <c r="AJ30" s="29">
        <f t="shared" si="9"/>
        <v>0</v>
      </c>
      <c r="AK30" s="33">
        <f t="shared" si="10"/>
        <v>-125405.39999999998</v>
      </c>
      <c r="AL30" s="32">
        <f t="shared" si="11"/>
        <v>-8.980280693999998</v>
      </c>
      <c r="AM30" s="68">
        <v>41.37</v>
      </c>
      <c r="AN30" s="29">
        <f t="shared" si="39"/>
        <v>-371.5142123107799</v>
      </c>
      <c r="AO30" s="67">
        <f t="shared" si="3"/>
        <v>0.4636947274385045</v>
      </c>
      <c r="AP30" s="31">
        <f t="shared" si="12"/>
        <v>-554.8344065495186</v>
      </c>
      <c r="AQ30" s="31">
        <f t="shared" si="13"/>
        <v>-971.7528320424425</v>
      </c>
      <c r="AR30" s="31">
        <f t="shared" si="14"/>
        <v>-60.767577860185376</v>
      </c>
      <c r="AS30" s="31">
        <f t="shared" si="15"/>
        <v>-237.25776051498465</v>
      </c>
      <c r="AT30" s="31">
        <f t="shared" si="16"/>
        <v>-145.31377314392154</v>
      </c>
      <c r="AU30" s="30">
        <f t="shared" si="40"/>
        <v>-1288.0498377523897</v>
      </c>
      <c r="AV30" s="30">
        <f t="shared" si="41"/>
        <v>152.56512641338986</v>
      </c>
      <c r="AW30" s="30">
        <f t="shared" si="42"/>
        <v>0</v>
      </c>
      <c r="AX30" s="30">
        <f t="shared" si="43"/>
        <v>-172.26918141697777</v>
      </c>
      <c r="AY30" s="67">
        <f t="shared" si="4"/>
        <v>0.17219549301143888</v>
      </c>
      <c r="AZ30" s="31">
        <f t="shared" si="17"/>
        <v>-206.04069557416747</v>
      </c>
      <c r="BA30" s="31">
        <f t="shared" si="18"/>
        <v>-360.8655611056133</v>
      </c>
      <c r="BB30" s="31">
        <f t="shared" si="19"/>
        <v>-22.566361896218346</v>
      </c>
      <c r="BC30" s="31">
        <f t="shared" si="20"/>
        <v>-88.10692601219162</v>
      </c>
      <c r="BD30" s="31">
        <f t="shared" si="21"/>
        <v>-53.963039317043865</v>
      </c>
      <c r="BE30" s="30">
        <f t="shared" si="44"/>
        <v>-478.32412945538914</v>
      </c>
      <c r="BF30" s="30">
        <f t="shared" si="45"/>
        <v>56.65586776073542</v>
      </c>
      <c r="BG30" s="30">
        <f t="shared" si="46"/>
        <v>0</v>
      </c>
      <c r="BH30" s="30">
        <f t="shared" si="47"/>
        <v>-63.97307294961112</v>
      </c>
    </row>
    <row r="31" spans="1:60" s="9" customFormat="1" ht="15">
      <c r="A31" s="71">
        <v>2042</v>
      </c>
      <c r="B31" s="15">
        <v>27</v>
      </c>
      <c r="C31" s="70">
        <f t="shared" si="22"/>
        <v>17966</v>
      </c>
      <c r="D31" s="22">
        <f t="shared" si="1"/>
        <v>0</v>
      </c>
      <c r="E31" s="51">
        <f t="shared" si="2"/>
        <v>-8444.019999999999</v>
      </c>
      <c r="F31" s="48">
        <f t="shared" si="23"/>
        <v>0</v>
      </c>
      <c r="G31" s="120">
        <f>'VMT Multipliers'!W$21</f>
        <v>0.14312195121951218</v>
      </c>
      <c r="H31" s="120">
        <f>'VMT Multipliers'!X$21</f>
        <v>0.25066787456445994</v>
      </c>
      <c r="I31" s="120">
        <f>'VMT Multipliers'!Y$21</f>
        <v>0.015675261324041814</v>
      </c>
      <c r="J31" s="120">
        <f>'VMT Multipliers'!Z$21</f>
        <v>0.061201672473867604</v>
      </c>
      <c r="K31" s="120">
        <f>'VMT Multipliers'!AA$21</f>
        <v>0.03748432055749129</v>
      </c>
      <c r="L31" s="118">
        <f>'VMT Multipliers'!W$20</f>
        <v>0.0013630662020905925</v>
      </c>
      <c r="M31" s="118">
        <f>'VMT Multipliers'!X$20</f>
        <v>0.10495609756097561</v>
      </c>
      <c r="N31" s="118">
        <f>'VMT Multipliers'!Y$20</f>
        <v>0.01622048780487805</v>
      </c>
      <c r="O31" s="118">
        <f>'VMT Multipliers'!Z$20</f>
        <v>0.01812878048780488</v>
      </c>
      <c r="P31" s="118">
        <f>'VMT Multipliers'!AA$20</f>
        <v>0.0012267595818815332</v>
      </c>
      <c r="Q31" s="26">
        <f t="shared" si="24"/>
        <v>-1208.524618536585</v>
      </c>
      <c r="R31" s="27">
        <f t="shared" si="25"/>
        <v>0</v>
      </c>
      <c r="S31" s="28">
        <f t="shared" si="26"/>
        <v>-1208.524618536585</v>
      </c>
      <c r="T31" s="26">
        <f t="shared" si="27"/>
        <v>-2116.6445461797907</v>
      </c>
      <c r="U31" s="27">
        <f t="shared" si="28"/>
        <v>0</v>
      </c>
      <c r="V31" s="28">
        <f t="shared" si="29"/>
        <v>-2116.6445461797907</v>
      </c>
      <c r="W31" s="26">
        <f t="shared" si="30"/>
        <v>-132.36222012543553</v>
      </c>
      <c r="X31" s="27">
        <f t="shared" si="31"/>
        <v>0</v>
      </c>
      <c r="Y31" s="28">
        <f t="shared" si="32"/>
        <v>-132.36222012543553</v>
      </c>
      <c r="Z31" s="26">
        <f t="shared" si="33"/>
        <v>-516.7881464027874</v>
      </c>
      <c r="AA31" s="27">
        <f t="shared" si="34"/>
        <v>0</v>
      </c>
      <c r="AB31" s="28">
        <f t="shared" si="35"/>
        <v>-516.7881464027874</v>
      </c>
      <c r="AC31" s="26">
        <f t="shared" si="36"/>
        <v>-316.51835247386754</v>
      </c>
      <c r="AD31" s="27">
        <f t="shared" si="37"/>
        <v>0</v>
      </c>
      <c r="AE31" s="28">
        <f t="shared" si="38"/>
        <v>-316.51835247386754</v>
      </c>
      <c r="AF31" s="20">
        <f t="shared" si="5"/>
        <v>-1361.9387096774192</v>
      </c>
      <c r="AG31" s="20">
        <f t="shared" si="6"/>
        <v>0</v>
      </c>
      <c r="AH31" s="29">
        <f t="shared" si="7"/>
        <v>-2805.5937419354836</v>
      </c>
      <c r="AI31" s="29">
        <f t="shared" si="8"/>
        <v>332.3130451612903</v>
      </c>
      <c r="AJ31" s="29">
        <f t="shared" si="9"/>
        <v>0</v>
      </c>
      <c r="AK31" s="33">
        <f t="shared" si="10"/>
        <v>-126660.29999999997</v>
      </c>
      <c r="AL31" s="32">
        <f t="shared" si="11"/>
        <v>-9.070144082999999</v>
      </c>
      <c r="AM31" s="68">
        <v>41.94</v>
      </c>
      <c r="AN31" s="29">
        <f t="shared" si="39"/>
        <v>-380.4018428410199</v>
      </c>
      <c r="AO31" s="67">
        <f t="shared" si="3"/>
        <v>0.45018905576553836</v>
      </c>
      <c r="AP31" s="31">
        <f t="shared" si="12"/>
        <v>-544.0645568883926</v>
      </c>
      <c r="AQ31" s="31">
        <f t="shared" si="13"/>
        <v>-952.8902096359565</v>
      </c>
      <c r="AR31" s="31">
        <f t="shared" si="14"/>
        <v>-59.588022897300156</v>
      </c>
      <c r="AS31" s="31">
        <f t="shared" si="15"/>
        <v>-232.65236765989368</v>
      </c>
      <c r="AT31" s="31">
        <f t="shared" si="16"/>
        <v>-142.49309823267427</v>
      </c>
      <c r="AU31" s="30">
        <f t="shared" si="40"/>
        <v>-1263.0475975436389</v>
      </c>
      <c r="AV31" s="30">
        <f t="shared" si="41"/>
        <v>149.60369601973198</v>
      </c>
      <c r="AW31" s="30">
        <f t="shared" si="42"/>
        <v>0</v>
      </c>
      <c r="AX31" s="30">
        <f t="shared" si="43"/>
        <v>-171.25274644006947</v>
      </c>
      <c r="AY31" s="67">
        <f t="shared" si="4"/>
        <v>0.16093036730041013</v>
      </c>
      <c r="AZ31" s="31">
        <f t="shared" si="17"/>
        <v>-194.48831075268066</v>
      </c>
      <c r="BA31" s="31">
        <f t="shared" si="18"/>
        <v>-340.63238426112366</v>
      </c>
      <c r="BB31" s="31">
        <f t="shared" si="19"/>
        <v>-21.301100701484078</v>
      </c>
      <c r="BC31" s="31">
        <f t="shared" si="20"/>
        <v>-83.16690621709871</v>
      </c>
      <c r="BD31" s="31">
        <f t="shared" si="21"/>
        <v>-50.93741472094018</v>
      </c>
      <c r="BE31" s="30">
        <f t="shared" si="44"/>
        <v>-451.50523138540945</v>
      </c>
      <c r="BF31" s="30">
        <f t="shared" si="45"/>
        <v>53.47926041652423</v>
      </c>
      <c r="BG31" s="30">
        <f t="shared" si="46"/>
        <v>0</v>
      </c>
      <c r="BH31" s="30">
        <f t="shared" si="47"/>
        <v>-61.21820829015822</v>
      </c>
    </row>
    <row r="32" spans="1:60" s="9" customFormat="1" ht="15">
      <c r="A32" s="72">
        <v>2043</v>
      </c>
      <c r="B32" s="200">
        <v>28</v>
      </c>
      <c r="C32" s="70">
        <f t="shared" si="22"/>
        <v>18145</v>
      </c>
      <c r="D32" s="22">
        <f t="shared" si="1"/>
        <v>0</v>
      </c>
      <c r="E32" s="51">
        <f t="shared" si="2"/>
        <v>-8528.15</v>
      </c>
      <c r="F32" s="48">
        <f t="shared" si="23"/>
        <v>0</v>
      </c>
      <c r="G32" s="120">
        <f>'VMT Multipliers'!W$21</f>
        <v>0.14312195121951218</v>
      </c>
      <c r="H32" s="120">
        <f>'VMT Multipliers'!X$21</f>
        <v>0.25066787456445994</v>
      </c>
      <c r="I32" s="120">
        <f>'VMT Multipliers'!Y$21</f>
        <v>0.015675261324041814</v>
      </c>
      <c r="J32" s="120">
        <f>'VMT Multipliers'!Z$21</f>
        <v>0.061201672473867604</v>
      </c>
      <c r="K32" s="120">
        <f>'VMT Multipliers'!AA$21</f>
        <v>0.03748432055749129</v>
      </c>
      <c r="L32" s="118">
        <f>'VMT Multipliers'!W$20</f>
        <v>0.0013630662020905925</v>
      </c>
      <c r="M32" s="118">
        <f>'VMT Multipliers'!X$20</f>
        <v>0.10495609756097561</v>
      </c>
      <c r="N32" s="118">
        <f>'VMT Multipliers'!Y$20</f>
        <v>0.01622048780487805</v>
      </c>
      <c r="O32" s="118">
        <f>'VMT Multipliers'!Z$20</f>
        <v>0.01812878048780488</v>
      </c>
      <c r="P32" s="118">
        <f>'VMT Multipliers'!AA$20</f>
        <v>0.0012267595818815332</v>
      </c>
      <c r="Q32" s="26">
        <f t="shared" si="24"/>
        <v>-1220.5654682926827</v>
      </c>
      <c r="R32" s="27">
        <f t="shared" si="25"/>
        <v>0</v>
      </c>
      <c r="S32" s="28">
        <f t="shared" si="26"/>
        <v>-1220.5654682926827</v>
      </c>
      <c r="T32" s="26">
        <f t="shared" si="27"/>
        <v>-2137.733234466899</v>
      </c>
      <c r="U32" s="27">
        <f t="shared" si="28"/>
        <v>0</v>
      </c>
      <c r="V32" s="28">
        <f t="shared" si="29"/>
        <v>-2137.733234466899</v>
      </c>
      <c r="W32" s="26">
        <f t="shared" si="30"/>
        <v>-133.6809798606272</v>
      </c>
      <c r="X32" s="27">
        <f t="shared" si="31"/>
        <v>0</v>
      </c>
      <c r="Y32" s="28">
        <f t="shared" si="32"/>
        <v>-133.6809798606272</v>
      </c>
      <c r="Z32" s="26">
        <f t="shared" si="33"/>
        <v>-521.937043108014</v>
      </c>
      <c r="AA32" s="27">
        <f t="shared" si="34"/>
        <v>0</v>
      </c>
      <c r="AB32" s="28">
        <f t="shared" si="35"/>
        <v>-521.937043108014</v>
      </c>
      <c r="AC32" s="26">
        <f t="shared" si="36"/>
        <v>-319.6719083623693</v>
      </c>
      <c r="AD32" s="27">
        <f t="shared" si="37"/>
        <v>0</v>
      </c>
      <c r="AE32" s="28">
        <f t="shared" si="38"/>
        <v>-319.6719083623693</v>
      </c>
      <c r="AF32" s="20">
        <f t="shared" si="5"/>
        <v>-1375.508064516129</v>
      </c>
      <c r="AG32" s="20">
        <f t="shared" si="6"/>
        <v>0</v>
      </c>
      <c r="AH32" s="29">
        <f t="shared" si="7"/>
        <v>-2833.5466129032257</v>
      </c>
      <c r="AI32" s="29">
        <f t="shared" si="8"/>
        <v>335.6239677419355</v>
      </c>
      <c r="AJ32" s="29">
        <f t="shared" si="9"/>
        <v>0</v>
      </c>
      <c r="AK32" s="33">
        <f t="shared" si="10"/>
        <v>-127922.25</v>
      </c>
      <c r="AL32" s="32">
        <f t="shared" si="11"/>
        <v>-9.160512322499999</v>
      </c>
      <c r="AM32" s="68">
        <v>42.51</v>
      </c>
      <c r="AN32" s="29">
        <f t="shared" si="39"/>
        <v>-389.41337882947494</v>
      </c>
      <c r="AO32" s="67">
        <f t="shared" si="3"/>
        <v>0.4370767531704256</v>
      </c>
      <c r="AP32" s="31">
        <f t="shared" si="12"/>
        <v>-533.4807919133058</v>
      </c>
      <c r="AQ32" s="31">
        <f t="shared" si="13"/>
        <v>-934.3535012653043</v>
      </c>
      <c r="AR32" s="31">
        <f t="shared" si="14"/>
        <v>-58.42884863812399</v>
      </c>
      <c r="AS32" s="31">
        <f t="shared" si="15"/>
        <v>-228.1265481610232</v>
      </c>
      <c r="AT32" s="31">
        <f t="shared" si="16"/>
        <v>-139.72115978681822</v>
      </c>
      <c r="AU32" s="30">
        <f t="shared" si="40"/>
        <v>-1238.4773535247987</v>
      </c>
      <c r="AV32" s="30">
        <f t="shared" si="41"/>
        <v>146.6934341068208</v>
      </c>
      <c r="AW32" s="30">
        <f t="shared" si="42"/>
        <v>0</v>
      </c>
      <c r="AX32" s="30">
        <f t="shared" si="43"/>
        <v>-170.20353525991186</v>
      </c>
      <c r="AY32" s="67">
        <f t="shared" si="4"/>
        <v>0.15040221243028987</v>
      </c>
      <c r="AZ32" s="31">
        <f t="shared" si="17"/>
        <v>-183.5757468472323</v>
      </c>
      <c r="BA32" s="31">
        <f t="shared" si="18"/>
        <v>-321.5198080495812</v>
      </c>
      <c r="BB32" s="31">
        <f t="shared" si="19"/>
        <v>-20.10591513088735</v>
      </c>
      <c r="BC32" s="31">
        <f t="shared" si="20"/>
        <v>-78.50048603276888</v>
      </c>
      <c r="BD32" s="31">
        <f t="shared" si="21"/>
        <v>-48.079362269513226</v>
      </c>
      <c r="BE32" s="30">
        <f t="shared" si="44"/>
        <v>-426.17167960499927</v>
      </c>
      <c r="BF32" s="30">
        <f t="shared" si="45"/>
        <v>50.47858729301933</v>
      </c>
      <c r="BG32" s="30">
        <f t="shared" si="46"/>
        <v>0</v>
      </c>
      <c r="BH32" s="30">
        <f t="shared" si="47"/>
        <v>-58.56863372590763</v>
      </c>
    </row>
    <row r="33" spans="1:60" s="9" customFormat="1" ht="15">
      <c r="A33" s="71">
        <v>2044</v>
      </c>
      <c r="B33" s="15">
        <v>29</v>
      </c>
      <c r="C33" s="70">
        <f t="shared" si="22"/>
        <v>18327</v>
      </c>
      <c r="D33" s="22">
        <f t="shared" si="1"/>
        <v>0</v>
      </c>
      <c r="E33" s="51">
        <f t="shared" si="2"/>
        <v>-8613.689999999999</v>
      </c>
      <c r="F33" s="48">
        <f t="shared" si="23"/>
        <v>0</v>
      </c>
      <c r="G33" s="120">
        <f>'VMT Multipliers'!W$21</f>
        <v>0.14312195121951218</v>
      </c>
      <c r="H33" s="120">
        <f>'VMT Multipliers'!X$21</f>
        <v>0.25066787456445994</v>
      </c>
      <c r="I33" s="120">
        <f>'VMT Multipliers'!Y$21</f>
        <v>0.015675261324041814</v>
      </c>
      <c r="J33" s="120">
        <f>'VMT Multipliers'!Z$21</f>
        <v>0.061201672473867604</v>
      </c>
      <c r="K33" s="120">
        <f>'VMT Multipliers'!AA$21</f>
        <v>0.03748432055749129</v>
      </c>
      <c r="L33" s="118">
        <f>'VMT Multipliers'!W$20</f>
        <v>0.0013630662020905925</v>
      </c>
      <c r="M33" s="118">
        <f>'VMT Multipliers'!X$20</f>
        <v>0.10495609756097561</v>
      </c>
      <c r="N33" s="118">
        <f>'VMT Multipliers'!Y$20</f>
        <v>0.01622048780487805</v>
      </c>
      <c r="O33" s="118">
        <f>'VMT Multipliers'!Z$20</f>
        <v>0.01812878048780488</v>
      </c>
      <c r="P33" s="118">
        <f>'VMT Multipliers'!AA$20</f>
        <v>0.0012267595818815332</v>
      </c>
      <c r="Q33" s="26">
        <f t="shared" si="24"/>
        <v>-1232.8081199999997</v>
      </c>
      <c r="R33" s="27">
        <f t="shared" si="25"/>
        <v>0</v>
      </c>
      <c r="S33" s="28">
        <f t="shared" si="26"/>
        <v>-1232.8081199999997</v>
      </c>
      <c r="T33" s="26">
        <f t="shared" si="27"/>
        <v>-2159.1753644571427</v>
      </c>
      <c r="U33" s="27">
        <f t="shared" si="28"/>
        <v>0</v>
      </c>
      <c r="V33" s="28">
        <f t="shared" si="29"/>
        <v>-2159.1753644571427</v>
      </c>
      <c r="W33" s="26">
        <f t="shared" si="30"/>
        <v>-135.0218417142857</v>
      </c>
      <c r="X33" s="27">
        <f t="shared" si="31"/>
        <v>0</v>
      </c>
      <c r="Y33" s="28">
        <f t="shared" si="32"/>
        <v>-135.0218417142857</v>
      </c>
      <c r="Z33" s="26">
        <f t="shared" si="33"/>
        <v>-527.1722341714286</v>
      </c>
      <c r="AA33" s="27">
        <f t="shared" si="34"/>
        <v>0</v>
      </c>
      <c r="AB33" s="28">
        <f t="shared" si="35"/>
        <v>-527.1722341714286</v>
      </c>
      <c r="AC33" s="26">
        <f t="shared" si="36"/>
        <v>-322.8783171428571</v>
      </c>
      <c r="AD33" s="27">
        <f t="shared" si="37"/>
        <v>0</v>
      </c>
      <c r="AE33" s="28">
        <f t="shared" si="38"/>
        <v>-322.8783171428571</v>
      </c>
      <c r="AF33" s="20">
        <f t="shared" si="5"/>
        <v>-1389.3048387096771</v>
      </c>
      <c r="AG33" s="20">
        <f t="shared" si="6"/>
        <v>0</v>
      </c>
      <c r="AH33" s="29">
        <f t="shared" si="7"/>
        <v>-2861.967967741935</v>
      </c>
      <c r="AI33" s="29">
        <f t="shared" si="8"/>
        <v>338.9903806451612</v>
      </c>
      <c r="AJ33" s="29">
        <f t="shared" si="9"/>
        <v>0</v>
      </c>
      <c r="AK33" s="33">
        <f t="shared" si="10"/>
        <v>-129205.34999999998</v>
      </c>
      <c r="AL33" s="32">
        <f t="shared" si="11"/>
        <v>-9.252395113499999</v>
      </c>
      <c r="AM33" s="68">
        <v>43.08</v>
      </c>
      <c r="AN33" s="29">
        <f t="shared" si="39"/>
        <v>-398.59318148957993</v>
      </c>
      <c r="AO33" s="67">
        <f t="shared" si="3"/>
        <v>0.4243463623013841</v>
      </c>
      <c r="AP33" s="31">
        <f t="shared" si="12"/>
        <v>-523.1376411376081</v>
      </c>
      <c r="AQ33" s="31">
        <f t="shared" si="13"/>
        <v>-916.2382114781537</v>
      </c>
      <c r="AR33" s="31">
        <f t="shared" si="14"/>
        <v>-57.29602736269042</v>
      </c>
      <c r="AS33" s="31">
        <f t="shared" si="15"/>
        <v>-223.70361987693914</v>
      </c>
      <c r="AT33" s="31">
        <f t="shared" si="16"/>
        <v>-137.01223934556404</v>
      </c>
      <c r="AU33" s="30">
        <f t="shared" si="40"/>
        <v>-1214.465696134375</v>
      </c>
      <c r="AV33" s="30">
        <f t="shared" si="41"/>
        <v>143.8493348819357</v>
      </c>
      <c r="AW33" s="30">
        <f t="shared" si="42"/>
        <v>0</v>
      </c>
      <c r="AX33" s="30">
        <f t="shared" si="43"/>
        <v>-169.14156660323863</v>
      </c>
      <c r="AY33" s="67">
        <f t="shared" si="4"/>
        <v>0.1405628153554111</v>
      </c>
      <c r="AZ33" s="31">
        <f t="shared" si="17"/>
        <v>-173.28698014021145</v>
      </c>
      <c r="BA33" s="31">
        <f t="shared" si="18"/>
        <v>-303.4997680741418</v>
      </c>
      <c r="BB33" s="31">
        <f t="shared" si="19"/>
        <v>-18.979050205832685</v>
      </c>
      <c r="BC33" s="31">
        <f t="shared" si="20"/>
        <v>-74.10081341233806</v>
      </c>
      <c r="BD33" s="31">
        <f t="shared" si="21"/>
        <v>-45.384685274817286</v>
      </c>
      <c r="BE33" s="30">
        <f t="shared" si="44"/>
        <v>-402.2862750028107</v>
      </c>
      <c r="BF33" s="30">
        <f t="shared" si="45"/>
        <v>47.64944228188632</v>
      </c>
      <c r="BG33" s="30">
        <f t="shared" si="46"/>
        <v>0</v>
      </c>
      <c r="BH33" s="30">
        <f t="shared" si="47"/>
        <v>-56.02737977164569</v>
      </c>
    </row>
    <row r="34" spans="1:60" s="9" customFormat="1" ht="15">
      <c r="A34" s="72">
        <v>2045</v>
      </c>
      <c r="B34" s="200">
        <v>30</v>
      </c>
      <c r="C34" s="70">
        <f t="shared" si="22"/>
        <v>18510</v>
      </c>
      <c r="D34" s="22">
        <f t="shared" si="1"/>
        <v>0</v>
      </c>
      <c r="E34" s="51">
        <f t="shared" si="2"/>
        <v>-8699.699999999999</v>
      </c>
      <c r="F34" s="48">
        <f t="shared" si="23"/>
        <v>0</v>
      </c>
      <c r="G34" s="120">
        <f>'VMT Multipliers'!W$21</f>
        <v>0.14312195121951218</v>
      </c>
      <c r="H34" s="120">
        <f>'VMT Multipliers'!X$21</f>
        <v>0.25066787456445994</v>
      </c>
      <c r="I34" s="120">
        <f>'VMT Multipliers'!Y$21</f>
        <v>0.015675261324041814</v>
      </c>
      <c r="J34" s="120">
        <f>'VMT Multipliers'!Z$21</f>
        <v>0.061201672473867604</v>
      </c>
      <c r="K34" s="120">
        <f>'VMT Multipliers'!AA$21</f>
        <v>0.03748432055749129</v>
      </c>
      <c r="L34" s="118">
        <f>'VMT Multipliers'!W$20</f>
        <v>0.0013630662020905925</v>
      </c>
      <c r="M34" s="118">
        <f>'VMT Multipliers'!X$20</f>
        <v>0.10495609756097561</v>
      </c>
      <c r="N34" s="118">
        <f>'VMT Multipliers'!Y$20</f>
        <v>0.01622048780487805</v>
      </c>
      <c r="O34" s="118">
        <f>'VMT Multipliers'!Z$20</f>
        <v>0.01812878048780488</v>
      </c>
      <c r="P34" s="118">
        <f>'VMT Multipliers'!AA$20</f>
        <v>0.0012267595818815332</v>
      </c>
      <c r="Q34" s="26">
        <f t="shared" si="24"/>
        <v>-1245.1180390243899</v>
      </c>
      <c r="R34" s="27">
        <f t="shared" si="25"/>
        <v>0</v>
      </c>
      <c r="S34" s="28">
        <f t="shared" si="26"/>
        <v>-1245.1180390243899</v>
      </c>
      <c r="T34" s="26">
        <f t="shared" si="27"/>
        <v>-2180.7353083484318</v>
      </c>
      <c r="U34" s="27">
        <f t="shared" si="28"/>
        <v>0</v>
      </c>
      <c r="V34" s="28">
        <f t="shared" si="29"/>
        <v>-2180.7353083484318</v>
      </c>
      <c r="W34" s="26">
        <f t="shared" si="30"/>
        <v>-136.37007094076654</v>
      </c>
      <c r="X34" s="27">
        <f t="shared" si="31"/>
        <v>0</v>
      </c>
      <c r="Y34" s="28">
        <f t="shared" si="32"/>
        <v>-136.37007094076654</v>
      </c>
      <c r="Z34" s="26">
        <f t="shared" si="33"/>
        <v>-532.4361900209059</v>
      </c>
      <c r="AA34" s="27">
        <f t="shared" si="34"/>
        <v>0</v>
      </c>
      <c r="AB34" s="28">
        <f t="shared" si="35"/>
        <v>-532.4361900209059</v>
      </c>
      <c r="AC34" s="26">
        <f t="shared" si="36"/>
        <v>-326.10234355400695</v>
      </c>
      <c r="AD34" s="27">
        <f t="shared" si="37"/>
        <v>0</v>
      </c>
      <c r="AE34" s="28">
        <f t="shared" si="38"/>
        <v>-326.10234355400695</v>
      </c>
      <c r="AF34" s="20">
        <f t="shared" si="5"/>
        <v>-1403.1774193548385</v>
      </c>
      <c r="AG34" s="20">
        <f t="shared" si="6"/>
        <v>0</v>
      </c>
      <c r="AH34" s="29">
        <f t="shared" si="7"/>
        <v>-2890.5454838709675</v>
      </c>
      <c r="AI34" s="29">
        <f t="shared" si="8"/>
        <v>342.3752903225806</v>
      </c>
      <c r="AJ34" s="29">
        <f t="shared" si="9"/>
        <v>0</v>
      </c>
      <c r="AK34" s="33">
        <f t="shared" si="10"/>
        <v>-130495.49999999999</v>
      </c>
      <c r="AL34" s="32">
        <f t="shared" si="11"/>
        <v>-9.344782754999999</v>
      </c>
      <c r="AM34" s="68">
        <v>43.65</v>
      </c>
      <c r="AN34" s="29">
        <f t="shared" si="39"/>
        <v>-407.89976725574996</v>
      </c>
      <c r="AO34" s="67">
        <f t="shared" si="3"/>
        <v>0.4119867595159069</v>
      </c>
      <c r="AP34" s="31">
        <f t="shared" si="12"/>
        <v>-512.9721461124589</v>
      </c>
      <c r="AQ34" s="31">
        <f t="shared" si="13"/>
        <v>-898.4340730483924</v>
      </c>
      <c r="AR34" s="31">
        <f t="shared" si="14"/>
        <v>-56.182663621840746</v>
      </c>
      <c r="AS34" s="31">
        <f t="shared" si="15"/>
        <v>-219.35666057570867</v>
      </c>
      <c r="AT34" s="31">
        <f t="shared" si="16"/>
        <v>-134.34984779135831</v>
      </c>
      <c r="AU34" s="30">
        <f t="shared" si="40"/>
        <v>-1190.866467133339</v>
      </c>
      <c r="AV34" s="30">
        <f t="shared" si="41"/>
        <v>141.05408639831782</v>
      </c>
      <c r="AW34" s="30">
        <f t="shared" si="42"/>
        <v>0</v>
      </c>
      <c r="AX34" s="30">
        <f t="shared" si="43"/>
        <v>-168.04930331898905</v>
      </c>
      <c r="AY34" s="67">
        <f t="shared" si="4"/>
        <v>0.13136711715458982</v>
      </c>
      <c r="AZ34" s="31">
        <f t="shared" si="17"/>
        <v>-163.56756730381016</v>
      </c>
      <c r="BA34" s="31">
        <f t="shared" si="18"/>
        <v>-286.476910734959</v>
      </c>
      <c r="BB34" s="31">
        <f t="shared" si="19"/>
        <v>-17.914543085655403</v>
      </c>
      <c r="BC34" s="31">
        <f t="shared" si="20"/>
        <v>-69.94460735181978</v>
      </c>
      <c r="BD34" s="31">
        <f t="shared" si="21"/>
        <v>-42.83912477004553</v>
      </c>
      <c r="BE34" s="30">
        <f t="shared" si="44"/>
        <v>-379.7226272203479</v>
      </c>
      <c r="BF34" s="30">
        <f t="shared" si="45"/>
        <v>44.97685487464315</v>
      </c>
      <c r="BG34" s="30">
        <f t="shared" si="46"/>
        <v>0</v>
      </c>
      <c r="BH34" s="30">
        <f t="shared" si="47"/>
        <v>-53.58461651241603</v>
      </c>
    </row>
    <row r="35" spans="17:60" s="53" customFormat="1" ht="15.75" thickBot="1">
      <c r="Q35" s="54">
        <f aca="true" t="shared" si="48" ref="Q35:AE35">SUM(Q10:Q34)</f>
        <v>-27695.905191219514</v>
      </c>
      <c r="R35" s="54">
        <f t="shared" si="48"/>
        <v>0</v>
      </c>
      <c r="S35" s="54">
        <f t="shared" si="48"/>
        <v>-27695.905191219514</v>
      </c>
      <c r="T35" s="54">
        <f t="shared" si="48"/>
        <v>-48507.399663478755</v>
      </c>
      <c r="U35" s="54">
        <f t="shared" si="48"/>
        <v>0</v>
      </c>
      <c r="V35" s="54">
        <f t="shared" si="48"/>
        <v>-48507.399663478755</v>
      </c>
      <c r="W35" s="54">
        <f t="shared" si="48"/>
        <v>-3033.361044752614</v>
      </c>
      <c r="X35" s="54">
        <f t="shared" si="48"/>
        <v>0</v>
      </c>
      <c r="Y35" s="54">
        <f t="shared" si="48"/>
        <v>-3033.361044752614</v>
      </c>
      <c r="Z35" s="54">
        <f t="shared" si="48"/>
        <v>-11843.296600816726</v>
      </c>
      <c r="AA35" s="54">
        <f t="shared" si="48"/>
        <v>0</v>
      </c>
      <c r="AB35" s="54">
        <f t="shared" si="48"/>
        <v>-11843.296600816726</v>
      </c>
      <c r="AC35" s="54">
        <f t="shared" si="48"/>
        <v>-7253.6894548432065</v>
      </c>
      <c r="AD35" s="54">
        <f t="shared" si="48"/>
        <v>0</v>
      </c>
      <c r="AE35" s="54">
        <f t="shared" si="48"/>
        <v>-7253.6894548432065</v>
      </c>
      <c r="AF35" s="55"/>
      <c r="AG35" s="55"/>
      <c r="AH35" s="56">
        <f>SUM(AH10:AH34)</f>
        <v>-64296.13190322581</v>
      </c>
      <c r="AI35" s="56">
        <f>SUM(AI10:AI34)</f>
        <v>7615.658341935483</v>
      </c>
      <c r="AJ35" s="56">
        <f>SUM(AJ10:AJ34)</f>
        <v>0</v>
      </c>
      <c r="AK35" s="56"/>
      <c r="AL35" s="56"/>
      <c r="AM35" s="56"/>
      <c r="AN35" s="56">
        <f>SUM(AN10:AN34)</f>
        <v>-7712.625558603735</v>
      </c>
      <c r="AO35" s="57"/>
      <c r="AP35" s="58">
        <f aca="true" t="shared" si="49" ref="AP35:AX35">SUM(AP10:AP34)</f>
        <v>-16389.32463502984</v>
      </c>
      <c r="AQ35" s="58">
        <f t="shared" si="49"/>
        <v>-28704.7314322094</v>
      </c>
      <c r="AR35" s="58">
        <f t="shared" si="49"/>
        <v>-1795.0212695508872</v>
      </c>
      <c r="AS35" s="58">
        <f t="shared" si="49"/>
        <v>-7008.387391550854</v>
      </c>
      <c r="AT35" s="58">
        <f t="shared" si="49"/>
        <v>-4292.442166317339</v>
      </c>
      <c r="AU35" s="58">
        <f t="shared" si="49"/>
        <v>-38047.86921615928</v>
      </c>
      <c r="AV35" s="58">
        <f t="shared" si="49"/>
        <v>4506.640819778089</v>
      </c>
      <c r="AW35" s="58">
        <f t="shared" si="49"/>
        <v>0</v>
      </c>
      <c r="AX35" s="58">
        <f t="shared" si="49"/>
        <v>-4456.577937866256</v>
      </c>
      <c r="AY35" s="59"/>
      <c r="AZ35" s="58">
        <f aca="true" t="shared" si="50" ref="AZ35:BH35">SUM(AZ10:AZ34)</f>
        <v>-8899.422845438681</v>
      </c>
      <c r="BA35" s="58">
        <f t="shared" si="50"/>
        <v>-15586.703440725463</v>
      </c>
      <c r="BB35" s="58">
        <f t="shared" si="50"/>
        <v>-974.6986925956652</v>
      </c>
      <c r="BC35" s="58">
        <f t="shared" si="50"/>
        <v>-3805.562721525684</v>
      </c>
      <c r="BD35" s="58">
        <f t="shared" si="50"/>
        <v>-2330.8012214244163</v>
      </c>
      <c r="BE35" s="58">
        <f t="shared" si="50"/>
        <v>-20660.038412982143</v>
      </c>
      <c r="BF35" s="58">
        <f t="shared" si="50"/>
        <v>2447.11134600371</v>
      </c>
      <c r="BG35" s="58">
        <f t="shared" si="50"/>
        <v>0</v>
      </c>
      <c r="BH35" s="58">
        <f t="shared" si="50"/>
        <v>-2348.128613630151</v>
      </c>
    </row>
    <row r="37" spans="2:6" ht="15">
      <c r="B37" s="197" t="s">
        <v>131</v>
      </c>
      <c r="C37" s="198"/>
      <c r="D37" s="199">
        <v>11310</v>
      </c>
      <c r="F37" s="206"/>
    </row>
    <row r="38" spans="2:37" ht="15">
      <c r="B38" s="197" t="s">
        <v>136</v>
      </c>
      <c r="C38" s="198"/>
      <c r="D38" s="199">
        <v>-0.47</v>
      </c>
      <c r="AD38" s="122" t="s">
        <v>102</v>
      </c>
      <c r="AE38" s="122">
        <v>6.2</v>
      </c>
      <c r="AG38" s="122" t="s">
        <v>105</v>
      </c>
      <c r="AH38" s="122">
        <v>0.244</v>
      </c>
      <c r="AJ38" s="122" t="s">
        <v>107</v>
      </c>
      <c r="AK38" s="122">
        <v>15</v>
      </c>
    </row>
    <row r="39" spans="30:37" ht="45">
      <c r="AD39" s="122" t="s">
        <v>103</v>
      </c>
      <c r="AE39" s="122">
        <v>24.5</v>
      </c>
      <c r="AG39" s="122" t="s">
        <v>106</v>
      </c>
      <c r="AH39" s="122">
        <v>0.184</v>
      </c>
      <c r="AJ39" s="123" t="s">
        <v>108</v>
      </c>
      <c r="AK39" s="122">
        <v>71.61</v>
      </c>
    </row>
    <row r="40" spans="30:36" ht="15">
      <c r="AD40" s="122" t="s">
        <v>104</v>
      </c>
      <c r="AE40" s="279">
        <f>'Monetary Assumptions'!E25</f>
        <v>2.06</v>
      </c>
      <c r="AJ40" s="121"/>
    </row>
  </sheetData>
  <sheetProtection/>
  <mergeCells count="43">
    <mergeCell ref="E1:AN1"/>
    <mergeCell ref="AO1:AO3"/>
    <mergeCell ref="AP1:AX1"/>
    <mergeCell ref="AY1:AY3"/>
    <mergeCell ref="AZ1:BH1"/>
    <mergeCell ref="A2:A3"/>
    <mergeCell ref="B2:B3"/>
    <mergeCell ref="C2:D2"/>
    <mergeCell ref="E2:F2"/>
    <mergeCell ref="G2:K2"/>
    <mergeCell ref="L2:P2"/>
    <mergeCell ref="Q2:S2"/>
    <mergeCell ref="T2:V2"/>
    <mergeCell ref="W2:Y2"/>
    <mergeCell ref="Z2:AB2"/>
    <mergeCell ref="AC2:AE2"/>
    <mergeCell ref="AF2:AF3"/>
    <mergeCell ref="AG2:AG3"/>
    <mergeCell ref="AH2:AH3"/>
    <mergeCell ref="AI2:AI3"/>
    <mergeCell ref="AJ2:AJ3"/>
    <mergeCell ref="AK2:AK3"/>
    <mergeCell ref="AL2:AL3"/>
    <mergeCell ref="AM2:AM3"/>
    <mergeCell ref="AN2:AN3"/>
    <mergeCell ref="AP2:AP3"/>
    <mergeCell ref="AQ2:AQ3"/>
    <mergeCell ref="AR2:AR3"/>
    <mergeCell ref="AS2:AS3"/>
    <mergeCell ref="AT2:AT3"/>
    <mergeCell ref="AU2:AU3"/>
    <mergeCell ref="AV2:AV3"/>
    <mergeCell ref="AW2:AW3"/>
    <mergeCell ref="AX2:AX3"/>
    <mergeCell ref="BF2:BF3"/>
    <mergeCell ref="BG2:BG3"/>
    <mergeCell ref="BH2:BH3"/>
    <mergeCell ref="AZ2:AZ3"/>
    <mergeCell ref="BA2:BA3"/>
    <mergeCell ref="BB2:BB3"/>
    <mergeCell ref="BC2:BC3"/>
    <mergeCell ref="BD2:BD3"/>
    <mergeCell ref="BE2:BE3"/>
  </mergeCells>
  <printOptions/>
  <pageMargins left="0.7" right="0.7" top="0.75" bottom="0.75" header="0.3" footer="0.3"/>
  <pageSetup horizontalDpi="600" verticalDpi="600" orientation="portrait" r:id="rId2"/>
  <drawing r:id="rId1"/>
</worksheet>
</file>

<file path=xl/worksheets/sheet8.xml><?xml version="1.0" encoding="utf-8"?>
<worksheet xmlns="http://schemas.openxmlformats.org/spreadsheetml/2006/main" xmlns:r="http://schemas.openxmlformats.org/officeDocument/2006/relationships">
  <dimension ref="A1:G27"/>
  <sheetViews>
    <sheetView zoomScalePageLayoutView="0" workbookViewId="0" topLeftCell="A4">
      <selection activeCell="A19" sqref="A19"/>
    </sheetView>
  </sheetViews>
  <sheetFormatPr defaultColWidth="9.140625" defaultRowHeight="15"/>
  <cols>
    <col min="1" max="1" width="35.421875" style="0" customWidth="1"/>
    <col min="2" max="2" width="37.57421875" style="0" customWidth="1"/>
    <col min="3" max="3" width="32.421875" style="0" bestFit="1" customWidth="1"/>
    <col min="4" max="4" width="32.57421875" style="0" customWidth="1"/>
    <col min="5" max="5" width="28.8515625" style="0" customWidth="1"/>
    <col min="6" max="6" width="27.140625" style="0" bestFit="1" customWidth="1"/>
    <col min="7" max="7" width="18.421875" style="0" bestFit="1" customWidth="1"/>
  </cols>
  <sheetData>
    <row r="1" spans="1:7" ht="15">
      <c r="A1" s="225" t="s">
        <v>146</v>
      </c>
      <c r="B1" s="225" t="s">
        <v>147</v>
      </c>
      <c r="C1" s="225" t="s">
        <v>148</v>
      </c>
      <c r="D1" s="225" t="s">
        <v>149</v>
      </c>
      <c r="E1" s="226"/>
      <c r="F1" s="226"/>
      <c r="G1" s="226"/>
    </row>
    <row r="2" spans="1:7" ht="15">
      <c r="A2" s="227">
        <v>1840</v>
      </c>
      <c r="B2" s="227">
        <v>10</v>
      </c>
      <c r="C2" s="227">
        <f>A2*B2</f>
        <v>18400</v>
      </c>
      <c r="D2" s="227">
        <f>C2/43560</f>
        <v>0.42240587695133147</v>
      </c>
      <c r="E2" s="226"/>
      <c r="F2" s="226"/>
      <c r="G2" s="226"/>
    </row>
    <row r="3" spans="1:7" ht="15">
      <c r="A3" s="225" t="s">
        <v>150</v>
      </c>
      <c r="B3" s="225" t="s">
        <v>151</v>
      </c>
      <c r="C3" s="226"/>
      <c r="D3" s="226"/>
      <c r="E3" s="226"/>
      <c r="F3" s="226"/>
      <c r="G3" s="226"/>
    </row>
    <row r="4" spans="1:7" ht="15">
      <c r="A4" s="227">
        <v>40.72</v>
      </c>
      <c r="B4" s="227">
        <f>A4/12</f>
        <v>3.393333333333333</v>
      </c>
      <c r="C4" s="226"/>
      <c r="D4" s="226"/>
      <c r="E4" s="226"/>
      <c r="F4" s="226"/>
      <c r="G4" s="226"/>
    </row>
    <row r="5" spans="1:7" ht="15">
      <c r="A5" s="225" t="s">
        <v>152</v>
      </c>
      <c r="B5" s="226"/>
      <c r="C5" s="226"/>
      <c r="D5" s="226"/>
      <c r="E5" s="226"/>
      <c r="F5" s="226"/>
      <c r="G5" s="226"/>
    </row>
    <row r="6" spans="1:7" ht="15">
      <c r="A6" s="227">
        <f>D2*B4</f>
        <v>1.4333639424548514</v>
      </c>
      <c r="B6" s="226"/>
      <c r="C6" s="226"/>
      <c r="D6" s="226"/>
      <c r="E6" s="226"/>
      <c r="F6" s="226"/>
      <c r="G6" s="226"/>
    </row>
    <row r="7" spans="1:7" ht="30">
      <c r="A7" s="225" t="s">
        <v>153</v>
      </c>
      <c r="B7" s="225" t="s">
        <v>154</v>
      </c>
      <c r="C7" s="225" t="s">
        <v>155</v>
      </c>
      <c r="D7" s="225" t="s">
        <v>156</v>
      </c>
      <c r="E7" s="226"/>
      <c r="F7" s="226"/>
      <c r="G7" s="226"/>
    </row>
    <row r="8" spans="1:7" ht="15">
      <c r="A8" s="227">
        <v>0.1</v>
      </c>
      <c r="B8" s="227">
        <v>0.5</v>
      </c>
      <c r="C8" s="227">
        <v>0.55</v>
      </c>
      <c r="D8" s="227">
        <v>0.15</v>
      </c>
      <c r="E8" s="226"/>
      <c r="F8" s="226"/>
      <c r="G8" s="226"/>
    </row>
    <row r="9" spans="1:7" ht="45">
      <c r="A9" s="225" t="s">
        <v>157</v>
      </c>
      <c r="B9" s="225" t="s">
        <v>158</v>
      </c>
      <c r="C9" s="225" t="s">
        <v>159</v>
      </c>
      <c r="D9" s="225" t="s">
        <v>160</v>
      </c>
      <c r="E9" s="225" t="s">
        <v>161</v>
      </c>
      <c r="F9" s="226"/>
      <c r="G9" s="226"/>
    </row>
    <row r="10" spans="1:7" ht="15">
      <c r="A10" s="280">
        <f>'Monetary Assumptions'!E27</f>
        <v>356.5</v>
      </c>
      <c r="B10" s="227">
        <f>A6*B8</f>
        <v>0.7166819712274257</v>
      </c>
      <c r="C10" s="227">
        <f>A6*D8</f>
        <v>0.21500459136822772</v>
      </c>
      <c r="D10" s="227">
        <f>B10-C10</f>
        <v>0.501677379859198</v>
      </c>
      <c r="E10" s="227">
        <f>D10*A10</f>
        <v>178.8479859198041</v>
      </c>
      <c r="F10" s="226"/>
      <c r="G10" s="226"/>
    </row>
    <row r="11" spans="1:7" ht="45">
      <c r="A11" s="228" t="s">
        <v>162</v>
      </c>
      <c r="B11" s="228" t="s">
        <v>158</v>
      </c>
      <c r="C11" s="228" t="s">
        <v>159</v>
      </c>
      <c r="D11" s="228" t="s">
        <v>160</v>
      </c>
      <c r="E11" s="228" t="s">
        <v>161</v>
      </c>
      <c r="F11" s="226"/>
      <c r="G11" s="226"/>
    </row>
    <row r="12" spans="1:7" ht="15">
      <c r="A12" s="228">
        <v>301.13</v>
      </c>
      <c r="B12" s="228">
        <f>A6*B8</f>
        <v>0.7166819712274257</v>
      </c>
      <c r="C12" s="228">
        <f>A6*D8</f>
        <v>0.21500459136822772</v>
      </c>
      <c r="D12" s="228">
        <f>B12-C12</f>
        <v>0.501677379859198</v>
      </c>
      <c r="E12" s="228">
        <f>D12*A12</f>
        <v>151.0701093970003</v>
      </c>
      <c r="F12" s="226"/>
      <c r="G12" s="226"/>
    </row>
    <row r="13" spans="1:7" ht="30">
      <c r="A13" s="225" t="s">
        <v>163</v>
      </c>
      <c r="B13" s="225" t="s">
        <v>164</v>
      </c>
      <c r="C13" s="225" t="s">
        <v>165</v>
      </c>
      <c r="D13" s="225" t="s">
        <v>166</v>
      </c>
      <c r="E13" s="225" t="s">
        <v>167</v>
      </c>
      <c r="F13" s="226"/>
      <c r="G13" s="226"/>
    </row>
    <row r="14" spans="1:7" ht="15">
      <c r="A14" s="280">
        <f>'Monetary Assumptions'!E28</f>
        <v>35.98</v>
      </c>
      <c r="B14" s="227">
        <f>A8*A6</f>
        <v>0.14333639424548514</v>
      </c>
      <c r="C14" s="227">
        <f>C8*A6</f>
        <v>0.7883501683501684</v>
      </c>
      <c r="D14" s="227">
        <f>C14-B14</f>
        <v>0.6450137741046832</v>
      </c>
      <c r="E14" s="227">
        <f>D14*A14</f>
        <v>23.2075955922865</v>
      </c>
      <c r="F14" s="226"/>
      <c r="G14" s="226"/>
    </row>
    <row r="15" spans="1:7" ht="30">
      <c r="A15" s="225" t="s">
        <v>168</v>
      </c>
      <c r="B15" s="225" t="s">
        <v>169</v>
      </c>
      <c r="C15" s="225" t="s">
        <v>170</v>
      </c>
      <c r="D15" s="225" t="s">
        <v>171</v>
      </c>
      <c r="E15" s="225" t="s">
        <v>172</v>
      </c>
      <c r="F15" s="225" t="s">
        <v>173</v>
      </c>
      <c r="G15" s="225" t="s">
        <v>167</v>
      </c>
    </row>
    <row r="16" spans="1:7" ht="15">
      <c r="A16" s="280">
        <f>'Monetary Assumptions'!E29</f>
        <v>11.69</v>
      </c>
      <c r="B16" s="227">
        <v>662</v>
      </c>
      <c r="C16" s="227">
        <f>B16*C8*A6*2.719</f>
        <v>1419.0129593265995</v>
      </c>
      <c r="D16" s="227">
        <v>237</v>
      </c>
      <c r="E16" s="227">
        <f>D16*A8*A6*2.719</f>
        <v>92.36640246097336</v>
      </c>
      <c r="F16" s="227">
        <f>C16-E16</f>
        <v>1326.646556865626</v>
      </c>
      <c r="G16" s="227">
        <f>F16*A16</f>
        <v>15508.498249759168</v>
      </c>
    </row>
    <row r="17" spans="1:7" ht="30">
      <c r="A17" s="225" t="s">
        <v>174</v>
      </c>
      <c r="B17" s="225" t="s">
        <v>175</v>
      </c>
      <c r="C17" s="225"/>
      <c r="D17" s="225" t="s">
        <v>176</v>
      </c>
      <c r="E17" s="225" t="s">
        <v>166</v>
      </c>
      <c r="F17" s="225" t="s">
        <v>177</v>
      </c>
      <c r="G17" s="225" t="s">
        <v>167</v>
      </c>
    </row>
    <row r="18" spans="1:7" ht="15">
      <c r="A18" s="280">
        <f>'Monetary Assumptions'!E30</f>
        <v>12.68</v>
      </c>
      <c r="B18" s="227">
        <v>1.31</v>
      </c>
      <c r="C18" s="227">
        <f>B18*A6*C8*2.719</f>
        <v>2.808016581144781</v>
      </c>
      <c r="D18" s="227">
        <v>1.93</v>
      </c>
      <c r="E18" s="227">
        <f>D18*A6*A8*2.719</f>
        <v>0.752182095990205</v>
      </c>
      <c r="F18" s="227">
        <f>C18-E18</f>
        <v>2.055834485154576</v>
      </c>
      <c r="G18" s="227">
        <f>F18*A18</f>
        <v>26.067981271760022</v>
      </c>
    </row>
    <row r="19" spans="1:7" ht="15">
      <c r="A19" s="226"/>
      <c r="B19" s="226"/>
      <c r="C19" s="226"/>
      <c r="D19" s="226"/>
      <c r="E19" s="226"/>
      <c r="F19" s="226"/>
      <c r="G19" s="226"/>
    </row>
    <row r="20" spans="1:7" ht="30">
      <c r="A20" s="225" t="s">
        <v>178</v>
      </c>
      <c r="B20" s="228" t="s">
        <v>179</v>
      </c>
      <c r="C20" s="226"/>
      <c r="D20" s="226"/>
      <c r="E20" s="226"/>
      <c r="F20" s="226"/>
      <c r="G20" s="226"/>
    </row>
    <row r="21" spans="1:7" ht="15">
      <c r="A21" s="227">
        <f>E10+E14+G16+G18</f>
        <v>15736.62181254302</v>
      </c>
      <c r="B21" s="228">
        <f>E12+E14+G16+G18</f>
        <v>15708.843936020216</v>
      </c>
      <c r="C21" s="226"/>
      <c r="D21" s="226"/>
      <c r="E21" s="226"/>
      <c r="F21" s="226"/>
      <c r="G21" s="226"/>
    </row>
    <row r="23" ht="15">
      <c r="A23" t="s">
        <v>180</v>
      </c>
    </row>
    <row r="24" ht="15">
      <c r="A24" s="269" t="s">
        <v>181</v>
      </c>
    </row>
    <row r="25" ht="15">
      <c r="A25" t="s">
        <v>182</v>
      </c>
    </row>
    <row r="26" ht="15">
      <c r="A26" t="s">
        <v>183</v>
      </c>
    </row>
    <row r="27" ht="15">
      <c r="A27" t="s">
        <v>184</v>
      </c>
    </row>
  </sheetData>
  <sheetProtection/>
  <hyperlinks>
    <hyperlink ref="A24" r:id="rId1" display="http://greenvalues.cnt.org/national/benefits_detail.php"/>
  </hyperlinks>
  <printOptions/>
  <pageMargins left="0.7" right="0.7" top="0.75" bottom="0.75" header="0.3" footer="0.3"/>
  <pageSetup horizontalDpi="600" verticalDpi="600" orientation="portrait" r:id="rId5"/>
  <drawing r:id="rId4"/>
  <legacyDrawing r:id="rId3"/>
</worksheet>
</file>

<file path=xl/worksheets/sheet9.xml><?xml version="1.0" encoding="utf-8"?>
<worksheet xmlns="http://schemas.openxmlformats.org/spreadsheetml/2006/main" xmlns:r="http://schemas.openxmlformats.org/officeDocument/2006/relationships">
  <dimension ref="A1:BQ35"/>
  <sheetViews>
    <sheetView zoomScalePageLayoutView="0" workbookViewId="0" topLeftCell="A13">
      <selection activeCell="V38" sqref="V38"/>
    </sheetView>
  </sheetViews>
  <sheetFormatPr defaultColWidth="9.140625" defaultRowHeight="15"/>
  <cols>
    <col min="5" max="5" width="11.421875" style="0" customWidth="1"/>
    <col min="6" max="6" width="11.7109375" style="0" customWidth="1"/>
    <col min="7" max="7" width="10.00390625" style="0" hidden="1" customWidth="1"/>
    <col min="8" max="8" width="11.00390625" style="0" hidden="1" customWidth="1"/>
    <col min="9" max="11" width="9.140625" style="0" hidden="1" customWidth="1"/>
    <col min="12" max="12" width="10.00390625" style="0" hidden="1" customWidth="1"/>
    <col min="13" max="13" width="11.00390625" style="0" hidden="1" customWidth="1"/>
    <col min="14" max="16" width="9.140625" style="0" hidden="1" customWidth="1"/>
    <col min="17" max="17" width="14.8515625" style="0" customWidth="1"/>
    <col min="18" max="18" width="13.7109375" style="0" customWidth="1"/>
    <col min="19" max="19" width="14.8515625" style="0" customWidth="1"/>
    <col min="20" max="20" width="17.140625" style="0" customWidth="1"/>
    <col min="21" max="21" width="16.28125" style="0" customWidth="1"/>
    <col min="22" max="22" width="18.00390625" style="0" customWidth="1"/>
    <col min="23" max="23" width="14.28125" style="0" customWidth="1"/>
    <col min="24" max="24" width="14.7109375" style="0" customWidth="1"/>
    <col min="25" max="25" width="14.57421875" style="0" customWidth="1"/>
    <col min="26" max="26" width="15.140625" style="0" customWidth="1"/>
    <col min="27" max="27" width="15.00390625" style="0" customWidth="1"/>
    <col min="28" max="28" width="15.28125" style="0" customWidth="1"/>
    <col min="29" max="29" width="15.421875" style="0" customWidth="1"/>
    <col min="30" max="30" width="12.57421875" style="0" customWidth="1"/>
    <col min="31" max="31" width="15.00390625" style="0" customWidth="1"/>
    <col min="32" max="33" width="16.140625" style="0" customWidth="1"/>
    <col min="34" max="34" width="17.00390625" style="0" customWidth="1"/>
    <col min="35" max="35" width="16.28125" style="0" customWidth="1"/>
    <col min="36" max="36" width="15.28125" style="0" customWidth="1"/>
    <col min="37" max="38" width="15.7109375" style="0" customWidth="1"/>
    <col min="39" max="39" width="13.00390625" style="0" customWidth="1"/>
    <col min="40" max="40" width="15.421875" style="0" customWidth="1"/>
    <col min="42" max="42" width="15.28125" style="0" customWidth="1"/>
    <col min="43" max="43" width="15.00390625" style="0" customWidth="1"/>
    <col min="44" max="44" width="14.7109375" style="0" customWidth="1"/>
    <col min="45" max="45" width="16.00390625" style="0" customWidth="1"/>
    <col min="46" max="46" width="15.421875" style="0" customWidth="1"/>
    <col min="47" max="48" width="16.00390625" style="0" customWidth="1"/>
    <col min="49" max="49" width="13.7109375" style="0" customWidth="1"/>
    <col min="50" max="50" width="14.00390625" style="0" customWidth="1"/>
    <col min="52" max="52" width="15.7109375" style="0" customWidth="1"/>
    <col min="53" max="53" width="15.8515625" style="0" customWidth="1"/>
    <col min="54" max="54" width="14.7109375" style="0" customWidth="1"/>
    <col min="55" max="55" width="15.00390625" style="0" customWidth="1"/>
    <col min="56" max="57" width="14.8515625" style="0" customWidth="1"/>
    <col min="58" max="58" width="14.7109375" style="0" customWidth="1"/>
    <col min="59" max="59" width="13.421875" style="0" customWidth="1"/>
    <col min="60" max="60" width="14.421875" style="0" customWidth="1"/>
    <col min="61" max="61" width="14.28125" style="0" bestFit="1" customWidth="1"/>
    <col min="62" max="63" width="19.00390625" style="0" customWidth="1"/>
    <col min="64" max="64" width="17.00390625" style="0" customWidth="1"/>
    <col min="65" max="66" width="19.00390625" style="0" customWidth="1"/>
    <col min="67" max="67" width="17.00390625" style="0" customWidth="1"/>
    <col min="68" max="69" width="19.00390625" style="0" customWidth="1"/>
  </cols>
  <sheetData>
    <row r="1" spans="5:69" ht="15.75" thickBot="1">
      <c r="E1" s="339" t="s">
        <v>88</v>
      </c>
      <c r="F1" s="340"/>
      <c r="G1" s="341"/>
      <c r="H1" s="341"/>
      <c r="I1" s="341"/>
      <c r="J1" s="341"/>
      <c r="K1" s="341"/>
      <c r="L1" s="341"/>
      <c r="M1" s="341"/>
      <c r="N1" s="341"/>
      <c r="O1" s="341"/>
      <c r="P1" s="341"/>
      <c r="Q1" s="341"/>
      <c r="R1" s="341"/>
      <c r="S1" s="341"/>
      <c r="T1" s="341"/>
      <c r="U1" s="341"/>
      <c r="V1" s="341"/>
      <c r="W1" s="341"/>
      <c r="X1" s="341"/>
      <c r="Y1" s="341"/>
      <c r="Z1" s="341"/>
      <c r="AA1" s="341"/>
      <c r="AB1" s="341"/>
      <c r="AC1" s="341"/>
      <c r="AD1" s="341"/>
      <c r="AE1" s="341"/>
      <c r="AF1" s="341"/>
      <c r="AG1" s="341"/>
      <c r="AH1" s="341"/>
      <c r="AI1" s="341"/>
      <c r="AJ1" s="341"/>
      <c r="AK1" s="341"/>
      <c r="AL1" s="341"/>
      <c r="AM1" s="341"/>
      <c r="AN1" s="342"/>
      <c r="AO1" s="333" t="s">
        <v>50</v>
      </c>
      <c r="AP1" s="336" t="s">
        <v>86</v>
      </c>
      <c r="AQ1" s="337"/>
      <c r="AR1" s="337"/>
      <c r="AS1" s="337"/>
      <c r="AT1" s="337"/>
      <c r="AU1" s="337"/>
      <c r="AV1" s="337"/>
      <c r="AW1" s="337"/>
      <c r="AX1" s="338"/>
      <c r="AY1" s="333" t="s">
        <v>52</v>
      </c>
      <c r="AZ1" s="336" t="s">
        <v>87</v>
      </c>
      <c r="BA1" s="337"/>
      <c r="BB1" s="337"/>
      <c r="BC1" s="337"/>
      <c r="BD1" s="337"/>
      <c r="BE1" s="337"/>
      <c r="BF1" s="337"/>
      <c r="BG1" s="337"/>
      <c r="BH1" s="338"/>
      <c r="BI1" s="354" t="s">
        <v>96</v>
      </c>
      <c r="BJ1" s="355"/>
      <c r="BK1" s="356"/>
      <c r="BL1" s="353" t="s">
        <v>95</v>
      </c>
      <c r="BM1" s="341"/>
      <c r="BN1" s="342"/>
      <c r="BO1" s="353" t="s">
        <v>185</v>
      </c>
      <c r="BP1" s="341"/>
      <c r="BQ1" s="342"/>
    </row>
    <row r="2" spans="1:69" ht="15" customHeight="1">
      <c r="A2" s="322" t="s">
        <v>81</v>
      </c>
      <c r="B2" s="363" t="s">
        <v>82</v>
      </c>
      <c r="C2" s="332" t="s">
        <v>39</v>
      </c>
      <c r="D2" s="331"/>
      <c r="E2" s="332" t="s">
        <v>40</v>
      </c>
      <c r="F2" s="331"/>
      <c r="G2" s="327" t="s">
        <v>36</v>
      </c>
      <c r="H2" s="327"/>
      <c r="I2" s="327"/>
      <c r="J2" s="327"/>
      <c r="K2" s="327"/>
      <c r="L2" s="327" t="s">
        <v>38</v>
      </c>
      <c r="M2" s="327"/>
      <c r="N2" s="327"/>
      <c r="O2" s="327"/>
      <c r="P2" s="327"/>
      <c r="Q2" s="324" t="s">
        <v>41</v>
      </c>
      <c r="R2" s="325"/>
      <c r="S2" s="326"/>
      <c r="T2" s="324" t="s">
        <v>42</v>
      </c>
      <c r="U2" s="325"/>
      <c r="V2" s="326"/>
      <c r="W2" s="324" t="s">
        <v>43</v>
      </c>
      <c r="X2" s="325"/>
      <c r="Y2" s="326"/>
      <c r="Z2" s="324" t="s">
        <v>44</v>
      </c>
      <c r="AA2" s="325"/>
      <c r="AB2" s="326"/>
      <c r="AC2" s="324" t="s">
        <v>45</v>
      </c>
      <c r="AD2" s="325"/>
      <c r="AE2" s="326"/>
      <c r="AF2" s="328" t="s">
        <v>54</v>
      </c>
      <c r="AG2" s="328" t="s">
        <v>55</v>
      </c>
      <c r="AH2" s="328" t="s">
        <v>57</v>
      </c>
      <c r="AI2" s="328" t="s">
        <v>58</v>
      </c>
      <c r="AJ2" s="328" t="s">
        <v>59</v>
      </c>
      <c r="AK2" s="328" t="s">
        <v>60</v>
      </c>
      <c r="AL2" s="333" t="s">
        <v>61</v>
      </c>
      <c r="AM2" s="361" t="s">
        <v>62</v>
      </c>
      <c r="AN2" s="328" t="s">
        <v>63</v>
      </c>
      <c r="AO2" s="328"/>
      <c r="AP2" s="334" t="s">
        <v>18</v>
      </c>
      <c r="AQ2" s="334" t="s">
        <v>19</v>
      </c>
      <c r="AR2" s="334" t="s">
        <v>20</v>
      </c>
      <c r="AS2" s="334" t="s">
        <v>37</v>
      </c>
      <c r="AT2" s="334" t="s">
        <v>22</v>
      </c>
      <c r="AU2" s="328" t="s">
        <v>57</v>
      </c>
      <c r="AV2" s="328" t="s">
        <v>58</v>
      </c>
      <c r="AW2" s="328" t="s">
        <v>59</v>
      </c>
      <c r="AX2" s="328" t="s">
        <v>63</v>
      </c>
      <c r="AY2" s="328"/>
      <c r="AZ2" s="334" t="s">
        <v>18</v>
      </c>
      <c r="BA2" s="334" t="s">
        <v>19</v>
      </c>
      <c r="BB2" s="334" t="s">
        <v>20</v>
      </c>
      <c r="BC2" s="334" t="s">
        <v>37</v>
      </c>
      <c r="BD2" s="334" t="s">
        <v>22</v>
      </c>
      <c r="BE2" s="328" t="s">
        <v>57</v>
      </c>
      <c r="BF2" s="328" t="s">
        <v>58</v>
      </c>
      <c r="BG2" s="328" t="s">
        <v>59</v>
      </c>
      <c r="BH2" s="333" t="s">
        <v>63</v>
      </c>
      <c r="BI2" s="333" t="s">
        <v>192</v>
      </c>
      <c r="BJ2" s="348" t="s">
        <v>193</v>
      </c>
      <c r="BK2" s="348" t="s">
        <v>194</v>
      </c>
      <c r="BL2" s="333" t="s">
        <v>192</v>
      </c>
      <c r="BM2" s="348" t="s">
        <v>193</v>
      </c>
      <c r="BN2" s="348" t="s">
        <v>194</v>
      </c>
      <c r="BO2" s="333" t="s">
        <v>186</v>
      </c>
      <c r="BP2" s="348" t="s">
        <v>187</v>
      </c>
      <c r="BQ2" s="351" t="s">
        <v>188</v>
      </c>
    </row>
    <row r="3" spans="1:69" s="9" customFormat="1" ht="15.75" thickBot="1">
      <c r="A3" s="323"/>
      <c r="B3" s="364"/>
      <c r="C3" s="16" t="s">
        <v>4</v>
      </c>
      <c r="D3" s="18" t="s">
        <v>5</v>
      </c>
      <c r="E3" s="16" t="s">
        <v>4</v>
      </c>
      <c r="F3" s="18" t="s">
        <v>5</v>
      </c>
      <c r="G3" s="9" t="s">
        <v>18</v>
      </c>
      <c r="H3" s="9" t="s">
        <v>19</v>
      </c>
      <c r="I3" s="9" t="s">
        <v>20</v>
      </c>
      <c r="J3" s="9" t="s">
        <v>37</v>
      </c>
      <c r="K3" s="9" t="s">
        <v>22</v>
      </c>
      <c r="L3" s="9" t="s">
        <v>18</v>
      </c>
      <c r="M3" s="9" t="s">
        <v>19</v>
      </c>
      <c r="N3" s="9" t="s">
        <v>20</v>
      </c>
      <c r="O3" s="9" t="s">
        <v>37</v>
      </c>
      <c r="P3" s="9" t="s">
        <v>22</v>
      </c>
      <c r="Q3" s="74" t="s">
        <v>4</v>
      </c>
      <c r="R3" s="243" t="s">
        <v>5</v>
      </c>
      <c r="S3" s="106" t="s">
        <v>14</v>
      </c>
      <c r="T3" s="16" t="s">
        <v>4</v>
      </c>
      <c r="U3" s="17" t="s">
        <v>5</v>
      </c>
      <c r="V3" s="18" t="s">
        <v>14</v>
      </c>
      <c r="W3" s="16" t="s">
        <v>4</v>
      </c>
      <c r="X3" s="17" t="s">
        <v>5</v>
      </c>
      <c r="Y3" s="18" t="s">
        <v>14</v>
      </c>
      <c r="Z3" s="16" t="s">
        <v>4</v>
      </c>
      <c r="AA3" s="17" t="s">
        <v>5</v>
      </c>
      <c r="AB3" s="18" t="s">
        <v>14</v>
      </c>
      <c r="AC3" s="16" t="s">
        <v>4</v>
      </c>
      <c r="AD3" s="17" t="s">
        <v>5</v>
      </c>
      <c r="AE3" s="18" t="s">
        <v>14</v>
      </c>
      <c r="AF3" s="329"/>
      <c r="AG3" s="329"/>
      <c r="AH3" s="329"/>
      <c r="AI3" s="329"/>
      <c r="AJ3" s="329"/>
      <c r="AK3" s="329"/>
      <c r="AL3" s="329"/>
      <c r="AM3" s="362"/>
      <c r="AN3" s="329"/>
      <c r="AO3" s="329"/>
      <c r="AP3" s="335"/>
      <c r="AQ3" s="335"/>
      <c r="AR3" s="335"/>
      <c r="AS3" s="335"/>
      <c r="AT3" s="335"/>
      <c r="AU3" s="329"/>
      <c r="AV3" s="329"/>
      <c r="AW3" s="329"/>
      <c r="AX3" s="329"/>
      <c r="AY3" s="329"/>
      <c r="AZ3" s="335"/>
      <c r="BA3" s="335"/>
      <c r="BB3" s="335"/>
      <c r="BC3" s="335"/>
      <c r="BD3" s="335"/>
      <c r="BE3" s="329"/>
      <c r="BF3" s="329"/>
      <c r="BG3" s="329"/>
      <c r="BH3" s="329"/>
      <c r="BI3" s="329"/>
      <c r="BJ3" s="349"/>
      <c r="BK3" s="349"/>
      <c r="BL3" s="329"/>
      <c r="BM3" s="349"/>
      <c r="BN3" s="349"/>
      <c r="BO3" s="329"/>
      <c r="BP3" s="349"/>
      <c r="BQ3" s="352"/>
    </row>
    <row r="4" spans="1:69" s="64" customFormat="1" ht="15">
      <c r="A4" s="72">
        <v>2015</v>
      </c>
      <c r="B4" s="98">
        <v>0</v>
      </c>
      <c r="C4" s="219">
        <f>'VMT Bridge BCA'!C4+'VMT Holabird BCA'!C4+'Bridge State of Good Repair'!C4+'Keith State of Good Repair'!C4</f>
        <v>12536</v>
      </c>
      <c r="D4" s="64">
        <f>'VMT Bridge BCA'!D4+'VMT Holabird BCA'!D4+'Bridge State of Good Repair'!D4+'Keith State of Good Repair'!D4</f>
        <v>3524</v>
      </c>
      <c r="E4" s="219">
        <f>'VMT Bridge BCA'!E4+'VMT Holabird BCA'!E4+'Bridge State of Good Repair'!E4+'Keith State of Good Repair'!E4</f>
        <v>-3866.9448336842106</v>
      </c>
      <c r="F4" s="240">
        <f>'VMT Bridge BCA'!F4+'VMT Holabird BCA'!F4+'Bridge State of Good Repair'!F4+'Keith State of Good Repair'!F4</f>
        <v>4164.28483368421</v>
      </c>
      <c r="Q4" s="238">
        <f>'VMT Bridge BCA'!Q4+'VMT Holabird BCA'!Q4+'Bridge State of Good Repair'!Q4+'Keith State of Good Repair'!Q4</f>
        <v>0</v>
      </c>
      <c r="R4" s="245">
        <f>'VMT Bridge BCA'!R4+'VMT Holabird BCA'!R4+'Bridge State of Good Repair'!R4+'Keith State of Good Repair'!R4</f>
        <v>0</v>
      </c>
      <c r="S4" s="246">
        <f>'VMT Bridge BCA'!S4+'VMT Holabird BCA'!S4+'Bridge State of Good Repair'!S4+'Keith State of Good Repair'!S4</f>
        <v>0</v>
      </c>
      <c r="T4" s="238">
        <f>'VMT Bridge BCA'!T4+'VMT Holabird BCA'!T4+'Bridge State of Good Repair'!T4+'Keith State of Good Repair'!T4</f>
        <v>0</v>
      </c>
      <c r="U4" s="245">
        <f>'VMT Bridge BCA'!U4+'VMT Holabird BCA'!U4+'Bridge State of Good Repair'!U4+'Keith State of Good Repair'!U4</f>
        <v>0</v>
      </c>
      <c r="V4" s="246">
        <f>'VMT Bridge BCA'!V4+'VMT Holabird BCA'!V4+'Bridge State of Good Repair'!V4+'Keith State of Good Repair'!V4</f>
        <v>0</v>
      </c>
      <c r="W4" s="238">
        <f>'VMT Bridge BCA'!W4+'VMT Holabird BCA'!W4+'Bridge State of Good Repair'!W4+'Keith State of Good Repair'!W4</f>
        <v>0</v>
      </c>
      <c r="X4" s="245">
        <f>'VMT Bridge BCA'!X4+'VMT Holabird BCA'!X4+'Bridge State of Good Repair'!X4+'Keith State of Good Repair'!X4</f>
        <v>0</v>
      </c>
      <c r="Y4" s="246">
        <f>'VMT Bridge BCA'!Y4+'VMT Holabird BCA'!Y4+'Bridge State of Good Repair'!Y4+'Keith State of Good Repair'!Y4</f>
        <v>0</v>
      </c>
      <c r="Z4" s="238">
        <f>'VMT Bridge BCA'!Z4+'VMT Holabird BCA'!Z4+'Bridge State of Good Repair'!Z4+'Keith State of Good Repair'!Z4</f>
        <v>0</v>
      </c>
      <c r="AA4" s="245">
        <f>'VMT Bridge BCA'!AA4+'VMT Holabird BCA'!AA4+'Bridge State of Good Repair'!AA4+'Keith State of Good Repair'!AA4</f>
        <v>0</v>
      </c>
      <c r="AB4" s="246">
        <f>'VMT Bridge BCA'!AB4+'VMT Holabird BCA'!AB4+'Bridge State of Good Repair'!AB4+'Keith State of Good Repair'!AB4</f>
        <v>0</v>
      </c>
      <c r="AC4" s="238">
        <f>'VMT Bridge BCA'!AC4+'VMT Holabird BCA'!AC4+'Bridge State of Good Repair'!AC4+'Keith State of Good Repair'!AC4</f>
        <v>0</v>
      </c>
      <c r="AD4" s="245">
        <f>'VMT Bridge BCA'!AD4+'VMT Holabird BCA'!AD4+'Bridge State of Good Repair'!AD4+'Keith State of Good Repair'!AD4</f>
        <v>0</v>
      </c>
      <c r="AE4" s="246">
        <f>'VMT Bridge BCA'!AE4+'VMT Holabird BCA'!AE4+'Bridge State of Good Repair'!AE4+'Keith State of Good Repair'!AE4</f>
        <v>0</v>
      </c>
      <c r="AF4" s="247">
        <f>'VMT Bridge BCA'!AF4+'VMT Holabird BCA'!AF4+'Bridge State of Good Repair'!AF4+'Keith State of Good Repair'!AF4</f>
        <v>0</v>
      </c>
      <c r="AG4" s="247">
        <f>'VMT Bridge BCA'!AG4+'VMT Holabird BCA'!AG4+'Bridge State of Good Repair'!AG4+'Keith State of Good Repair'!AG4</f>
        <v>0</v>
      </c>
      <c r="AH4" s="246">
        <f>'VMT Bridge BCA'!AH4+'VMT Holabird BCA'!AH4+'Bridge State of Good Repair'!AH4+'Keith State of Good Repair'!AH4</f>
        <v>0</v>
      </c>
      <c r="AI4" s="246">
        <f>'VMT Bridge BCA'!AI4+'VMT Holabird BCA'!AI4+'Bridge State of Good Repair'!AI4+'Keith State of Good Repair'!AI4</f>
        <v>0</v>
      </c>
      <c r="AJ4" s="246">
        <f>'VMT Bridge BCA'!AJ4+'VMT Holabird BCA'!AJ4+'Bridge State of Good Repair'!AJ4+'Keith State of Good Repair'!AJ4</f>
        <v>0</v>
      </c>
      <c r="AK4" s="247">
        <f>'VMT Bridge BCA'!AK4+'VMT Holabird BCA'!AK4+'Bridge State of Good Repair'!AK4+'Keith State of Good Repair'!AK4</f>
        <v>0</v>
      </c>
      <c r="AL4" s="247">
        <f>'VMT Bridge BCA'!AL4+'VMT Holabird BCA'!AL4+'Bridge State of Good Repair'!AL4+'Keith State of Good Repair'!AL4</f>
        <v>0</v>
      </c>
      <c r="AM4" s="68">
        <v>26.55</v>
      </c>
      <c r="AN4" s="246">
        <f>'VMT Bridge BCA'!AN4+'VMT Holabird BCA'!AN4+'Bridge State of Good Repair'!AN4+'Keith State of Good Repair'!AN4</f>
        <v>0</v>
      </c>
      <c r="AO4" s="67">
        <f>1/(1.03^(A4-A$4))</f>
        <v>1</v>
      </c>
      <c r="AP4" s="246">
        <f>'VMT Bridge BCA'!AP4+'VMT Holabird BCA'!AP4+'Bridge State of Good Repair'!AP4+'Keith State of Good Repair'!AP4</f>
        <v>0</v>
      </c>
      <c r="AQ4" s="246">
        <f>'VMT Bridge BCA'!AQ4+'VMT Holabird BCA'!AQ4+'Bridge State of Good Repair'!AQ4+'Keith State of Good Repair'!AQ4</f>
        <v>0</v>
      </c>
      <c r="AR4" s="246">
        <f>'VMT Bridge BCA'!AR4+'VMT Holabird BCA'!AR4+'Bridge State of Good Repair'!AR4+'Keith State of Good Repair'!AR4</f>
        <v>0</v>
      </c>
      <c r="AS4" s="246">
        <f>'VMT Bridge BCA'!AS4+'VMT Holabird BCA'!AS4+'Bridge State of Good Repair'!AS4+'Keith State of Good Repair'!AS4</f>
        <v>0</v>
      </c>
      <c r="AT4" s="246">
        <f>'VMT Bridge BCA'!AT4+'VMT Holabird BCA'!AT4+'Bridge State of Good Repair'!AT4+'Keith State of Good Repair'!AT4</f>
        <v>0</v>
      </c>
      <c r="AU4" s="246">
        <f>'VMT Bridge BCA'!AU4+'VMT Holabird BCA'!AU4+'Bridge State of Good Repair'!AU4+'Keith State of Good Repair'!AU4</f>
        <v>0</v>
      </c>
      <c r="AV4" s="246">
        <f>'VMT Bridge BCA'!AV4+'VMT Holabird BCA'!AV4+'Bridge State of Good Repair'!AV4+'Keith State of Good Repair'!AV4</f>
        <v>0</v>
      </c>
      <c r="AW4" s="246">
        <f>'VMT Bridge BCA'!AW4+'VMT Holabird BCA'!AW4+'Bridge State of Good Repair'!AW4+'Keith State of Good Repair'!AW4</f>
        <v>0</v>
      </c>
      <c r="AX4" s="246">
        <f>'VMT Bridge BCA'!AX4+'VMT Holabird BCA'!AX4+'Bridge State of Good Repair'!AX4+'Keith State of Good Repair'!AX4</f>
        <v>0</v>
      </c>
      <c r="AY4" s="67">
        <f>1/(1.07^(A4-A$4))</f>
        <v>1</v>
      </c>
      <c r="AZ4" s="246">
        <f>'VMT Bridge BCA'!AZ4+'VMT Holabird BCA'!AZ4+'Bridge State of Good Repair'!AZ4+'Keith State of Good Repair'!AZ4</f>
        <v>0</v>
      </c>
      <c r="BA4" s="246">
        <f>'VMT Bridge BCA'!BA4+'VMT Holabird BCA'!BA4+'Bridge State of Good Repair'!BA4+'Keith State of Good Repair'!BA4</f>
        <v>0</v>
      </c>
      <c r="BB4" s="246">
        <f>'VMT Bridge BCA'!BB4+'VMT Holabird BCA'!BB4+'Bridge State of Good Repair'!BB4+'Keith State of Good Repair'!BB4</f>
        <v>0</v>
      </c>
      <c r="BC4" s="246">
        <f>'VMT Bridge BCA'!BC4+'VMT Holabird BCA'!BC4+'Bridge State of Good Repair'!BC4+'Keith State of Good Repair'!BC4</f>
        <v>0</v>
      </c>
      <c r="BD4" s="246">
        <f>'VMT Bridge BCA'!BD4+'VMT Holabird BCA'!BD4+'Bridge State of Good Repair'!BD4+'Keith State of Good Repair'!BD4</f>
        <v>0</v>
      </c>
      <c r="BE4" s="246">
        <f>'VMT Bridge BCA'!BE4+'VMT Holabird BCA'!BE4+'Bridge State of Good Repair'!BE4+'Keith State of Good Repair'!BE4</f>
        <v>0</v>
      </c>
      <c r="BF4" s="246">
        <f>'VMT Bridge BCA'!BF4+'VMT Holabird BCA'!BF4+'Bridge State of Good Repair'!BF4+'Keith State of Good Repair'!BF4</f>
        <v>0</v>
      </c>
      <c r="BG4" s="246">
        <f>'VMT Bridge BCA'!BG4+'VMT Holabird BCA'!BG4+'Bridge State of Good Repair'!BG4+'Keith State of Good Repair'!BG4</f>
        <v>0</v>
      </c>
      <c r="BH4" s="246">
        <f>'VMT Bridge BCA'!BH4+'VMT Holabird BCA'!BH4+'Bridge State of Good Repair'!BH4+'Keith State of Good Repair'!BH4</f>
        <v>0</v>
      </c>
      <c r="BI4" s="246">
        <f>'VMT Bridge BCA'!BI4+'VMT Holabird BCA'!BI4+'Bridge State of Good Repair'!BI4+'Keith State of Good Repair'!BI4</f>
        <v>0</v>
      </c>
      <c r="BJ4" s="246">
        <f>'VMT Bridge BCA'!BJ4+'VMT Holabird BCA'!BJ4+'Bridge State of Good Repair'!BJ4+'Keith State of Good Repair'!BJ4</f>
        <v>0</v>
      </c>
      <c r="BK4" s="246">
        <f>'VMT Bridge BCA'!BK4+'VMT Holabird BCA'!BK4+'Bridge State of Good Repair'!BK4+'Keith State of Good Repair'!BK4</f>
        <v>0</v>
      </c>
      <c r="BL4" s="246">
        <f>'VMT Bridge BCA'!BL4+'VMT Holabird BCA'!BL4+'Bridge State of Good Repair'!BL4+'Keith State of Good Repair'!BL4</f>
        <v>0</v>
      </c>
      <c r="BM4" s="246">
        <f>'VMT Bridge BCA'!BM4+'VMT Holabird BCA'!BM4+'Bridge State of Good Repair'!BM4+'Keith State of Good Repair'!BM4</f>
        <v>0</v>
      </c>
      <c r="BN4" s="246">
        <f>'VMT Bridge BCA'!BN4+'VMT Holabird BCA'!BN4+'Bridge State of Good Repair'!BN4+'Keith State of Good Repair'!BN4</f>
        <v>0</v>
      </c>
      <c r="BO4" s="88">
        <v>0</v>
      </c>
      <c r="BP4" s="97">
        <f>'Bridge State of Good Repair'!BP4</f>
        <v>0</v>
      </c>
      <c r="BQ4" s="97">
        <f>'Bridge State of Good Repair'!BQ4</f>
        <v>0</v>
      </c>
    </row>
    <row r="5" spans="1:69" s="64" customFormat="1" ht="15">
      <c r="A5" s="71">
        <v>2016</v>
      </c>
      <c r="B5" s="99">
        <v>1</v>
      </c>
      <c r="C5" s="220">
        <f>'VMT Bridge BCA'!C5+'VMT Holabird BCA'!C5+'Bridge State of Good Repair'!C5+'Keith State of Good Repair'!C5</f>
        <v>33897</v>
      </c>
      <c r="D5" s="64">
        <f>'VMT Bridge BCA'!D5+'VMT Holabird BCA'!D5+'Bridge State of Good Repair'!D5+'Keith State of Good Repair'!D5</f>
        <v>3699</v>
      </c>
      <c r="E5" s="220">
        <f>'VMT Bridge BCA'!E5+'VMT Holabird BCA'!E5+'Bridge State of Good Repair'!E5+'Keith State of Good Repair'!E5</f>
        <v>211376.23841684207</v>
      </c>
      <c r="F5" s="241">
        <f>'VMT Bridge BCA'!F5+'VMT Holabird BCA'!F5+'Bridge State of Good Repair'!F5+'Keith State of Good Repair'!F5</f>
        <v>4371.081044210526</v>
      </c>
      <c r="Q5" s="91">
        <f>'VMT Bridge BCA'!Q5+'VMT Holabird BCA'!Q5+'Bridge State of Good Repair'!Q5+'Keith State of Good Repair'!Q5</f>
        <v>0</v>
      </c>
      <c r="R5" s="27">
        <f>'VMT Bridge BCA'!R5+'VMT Holabird BCA'!R5+'Bridge State of Good Repair'!R5+'Keith State of Good Repair'!R5</f>
        <v>0</v>
      </c>
      <c r="S5" s="28">
        <f>'VMT Bridge BCA'!S5+'VMT Holabird BCA'!S5+'Bridge State of Good Repair'!S5+'Keith State of Good Repair'!S5</f>
        <v>0</v>
      </c>
      <c r="T5" s="91">
        <f>'VMT Bridge BCA'!T5+'VMT Holabird BCA'!T5+'Bridge State of Good Repair'!T5+'Keith State of Good Repair'!T5</f>
        <v>0</v>
      </c>
      <c r="U5" s="27">
        <f>'VMT Bridge BCA'!U5+'VMT Holabird BCA'!U5+'Bridge State of Good Repair'!U5+'Keith State of Good Repair'!U5</f>
        <v>0</v>
      </c>
      <c r="V5" s="28">
        <f>'VMT Bridge BCA'!V5+'VMT Holabird BCA'!V5+'Bridge State of Good Repair'!V5+'Keith State of Good Repair'!V5</f>
        <v>0</v>
      </c>
      <c r="W5" s="91">
        <f>'VMT Bridge BCA'!W5+'VMT Holabird BCA'!W5+'Bridge State of Good Repair'!W5+'Keith State of Good Repair'!W5</f>
        <v>0</v>
      </c>
      <c r="X5" s="27">
        <f>'VMT Bridge BCA'!X5+'VMT Holabird BCA'!X5+'Bridge State of Good Repair'!X5+'Keith State of Good Repair'!X5</f>
        <v>0</v>
      </c>
      <c r="Y5" s="28">
        <f>'VMT Bridge BCA'!Y5+'VMT Holabird BCA'!Y5+'Bridge State of Good Repair'!Y5+'Keith State of Good Repair'!Y5</f>
        <v>0</v>
      </c>
      <c r="Z5" s="91">
        <f>'VMT Bridge BCA'!Z5+'VMT Holabird BCA'!Z5+'Bridge State of Good Repair'!Z5+'Keith State of Good Repair'!Z5</f>
        <v>0</v>
      </c>
      <c r="AA5" s="27">
        <f>'VMT Bridge BCA'!AA5+'VMT Holabird BCA'!AA5+'Bridge State of Good Repair'!AA5+'Keith State of Good Repair'!AA5</f>
        <v>0</v>
      </c>
      <c r="AB5" s="28">
        <f>'VMT Bridge BCA'!AB5+'VMT Holabird BCA'!AB5+'Bridge State of Good Repair'!AB5+'Keith State of Good Repair'!AB5</f>
        <v>0</v>
      </c>
      <c r="AC5" s="91">
        <f>'VMT Bridge BCA'!AC5+'VMT Holabird BCA'!AC5+'Bridge State of Good Repair'!AC5+'Keith State of Good Repair'!AC5</f>
        <v>0</v>
      </c>
      <c r="AD5" s="27">
        <f>'VMT Bridge BCA'!AD5+'VMT Holabird BCA'!AD5+'Bridge State of Good Repair'!AD5+'Keith State of Good Repair'!AD5</f>
        <v>0</v>
      </c>
      <c r="AE5" s="28">
        <f>'VMT Bridge BCA'!AE5+'VMT Holabird BCA'!AE5+'Bridge State of Good Repair'!AE5+'Keith State of Good Repair'!AE5</f>
        <v>0</v>
      </c>
      <c r="AF5" s="20">
        <f>'VMT Bridge BCA'!AF5+'VMT Holabird BCA'!AF5+'Bridge State of Good Repair'!AF5+'Keith State of Good Repair'!AF5</f>
        <v>0</v>
      </c>
      <c r="AG5" s="20">
        <f>'VMT Bridge BCA'!AG5+'VMT Holabird BCA'!AG5+'Bridge State of Good Repair'!AG5+'Keith State of Good Repair'!AG5</f>
        <v>0</v>
      </c>
      <c r="AH5" s="28">
        <f>'VMT Bridge BCA'!AH5+'VMT Holabird BCA'!AH5+'Bridge State of Good Repair'!AH5+'Keith State of Good Repair'!AH5</f>
        <v>0</v>
      </c>
      <c r="AI5" s="28">
        <f>'VMT Bridge BCA'!AI5+'VMT Holabird BCA'!AI5+'Bridge State of Good Repair'!AI5+'Keith State of Good Repair'!AI5</f>
        <v>0</v>
      </c>
      <c r="AJ5" s="28">
        <f>'VMT Bridge BCA'!AJ5+'VMT Holabird BCA'!AJ5+'Bridge State of Good Repair'!AJ5+'Keith State of Good Repair'!AJ5</f>
        <v>0</v>
      </c>
      <c r="AK5" s="20">
        <f>'VMT Bridge BCA'!AK5+'VMT Holabird BCA'!AK5+'Bridge State of Good Repair'!AK5+'Keith State of Good Repair'!AK5</f>
        <v>0</v>
      </c>
      <c r="AL5" s="20">
        <f>'VMT Bridge BCA'!AL5+'VMT Holabird BCA'!AL5+'Bridge State of Good Repair'!AL5+'Keith State of Good Repair'!AL5</f>
        <v>0</v>
      </c>
      <c r="AM5" s="68">
        <v>27.12</v>
      </c>
      <c r="AN5" s="28">
        <f>'VMT Bridge BCA'!AN5+'VMT Holabird BCA'!AN5+'Bridge State of Good Repair'!AN5+'Keith State of Good Repair'!AN5</f>
        <v>0</v>
      </c>
      <c r="AO5" s="67">
        <f aca="true" t="shared" si="0" ref="AO5:AO34">1/(1.03^(A5-A$4))</f>
        <v>0.970873786407767</v>
      </c>
      <c r="AP5" s="28">
        <f>'VMT Bridge BCA'!AP5+'VMT Holabird BCA'!AP5+'Bridge State of Good Repair'!AP5+'Keith State of Good Repair'!AP5</f>
        <v>0</v>
      </c>
      <c r="AQ5" s="28">
        <f>'VMT Bridge BCA'!AQ5+'VMT Holabird BCA'!AQ5+'Bridge State of Good Repair'!AQ5+'Keith State of Good Repair'!AQ5</f>
        <v>0</v>
      </c>
      <c r="AR5" s="28">
        <f>'VMT Bridge BCA'!AR5+'VMT Holabird BCA'!AR5+'Bridge State of Good Repair'!AR5+'Keith State of Good Repair'!AR5</f>
        <v>0</v>
      </c>
      <c r="AS5" s="28">
        <f>'VMT Bridge BCA'!AS5+'VMT Holabird BCA'!AS5+'Bridge State of Good Repair'!AS5+'Keith State of Good Repair'!AS5</f>
        <v>0</v>
      </c>
      <c r="AT5" s="28">
        <f>'VMT Bridge BCA'!AT5+'VMT Holabird BCA'!AT5+'Bridge State of Good Repair'!AT5+'Keith State of Good Repair'!AT5</f>
        <v>0</v>
      </c>
      <c r="AU5" s="28">
        <f>'VMT Bridge BCA'!AU5+'VMT Holabird BCA'!AU5+'Bridge State of Good Repair'!AU5+'Keith State of Good Repair'!AU5</f>
        <v>0</v>
      </c>
      <c r="AV5" s="28">
        <f>'VMT Bridge BCA'!AV5+'VMT Holabird BCA'!AV5+'Bridge State of Good Repair'!AV5+'Keith State of Good Repair'!AV5</f>
        <v>0</v>
      </c>
      <c r="AW5" s="28">
        <f>'VMT Bridge BCA'!AW5+'VMT Holabird BCA'!AW5+'Bridge State of Good Repair'!AW5+'Keith State of Good Repair'!AW5</f>
        <v>0</v>
      </c>
      <c r="AX5" s="28">
        <f>'VMT Bridge BCA'!AX5+'VMT Holabird BCA'!AX5+'Bridge State of Good Repair'!AX5+'Keith State of Good Repair'!AX5</f>
        <v>0</v>
      </c>
      <c r="AY5" s="67">
        <f aca="true" t="shared" si="1" ref="AY5:AY34">1/(1.07^(A5-A$4))</f>
        <v>0.9345794392523364</v>
      </c>
      <c r="AZ5" s="28">
        <f>'VMT Bridge BCA'!AZ5+'VMT Holabird BCA'!AZ5+'Bridge State of Good Repair'!AZ5+'Keith State of Good Repair'!AZ5</f>
        <v>0</v>
      </c>
      <c r="BA5" s="28">
        <f>'VMT Bridge BCA'!BA5+'VMT Holabird BCA'!BA5+'Bridge State of Good Repair'!BA5+'Keith State of Good Repair'!BA5</f>
        <v>0</v>
      </c>
      <c r="BB5" s="28">
        <f>'VMT Bridge BCA'!BB5+'VMT Holabird BCA'!BB5+'Bridge State of Good Repair'!BB5+'Keith State of Good Repair'!BB5</f>
        <v>0</v>
      </c>
      <c r="BC5" s="28">
        <f>'VMT Bridge BCA'!BC5+'VMT Holabird BCA'!BC5+'Bridge State of Good Repair'!BC5+'Keith State of Good Repair'!BC5</f>
        <v>0</v>
      </c>
      <c r="BD5" s="28">
        <f>'VMT Bridge BCA'!BD5+'VMT Holabird BCA'!BD5+'Bridge State of Good Repair'!BD5+'Keith State of Good Repair'!BD5</f>
        <v>0</v>
      </c>
      <c r="BE5" s="28">
        <f>'VMT Bridge BCA'!BE5+'VMT Holabird BCA'!BE5+'Bridge State of Good Repair'!BE5+'Keith State of Good Repair'!BE5</f>
        <v>0</v>
      </c>
      <c r="BF5" s="28">
        <f>'VMT Bridge BCA'!BF5+'VMT Holabird BCA'!BF5+'Bridge State of Good Repair'!BF5+'Keith State of Good Repair'!BF5</f>
        <v>0</v>
      </c>
      <c r="BG5" s="28">
        <f>'VMT Bridge BCA'!BG5+'VMT Holabird BCA'!BG5+'Bridge State of Good Repair'!BG5+'Keith State of Good Repair'!BG5</f>
        <v>0</v>
      </c>
      <c r="BH5" s="28">
        <f>'VMT Bridge BCA'!BH5+'VMT Holabird BCA'!BH5+'Bridge State of Good Repair'!BH5+'Keith State of Good Repair'!BH5</f>
        <v>0</v>
      </c>
      <c r="BI5" s="28">
        <f>'VMT Bridge BCA'!BI5+'VMT Holabird BCA'!BI5+'Bridge State of Good Repair'!BI5+'Keith State of Good Repair'!BI5</f>
        <v>0</v>
      </c>
      <c r="BJ5" s="28">
        <f>'VMT Bridge BCA'!BJ5+'VMT Holabird BCA'!BJ5+'Bridge State of Good Repair'!BJ5+'Keith State of Good Repair'!BJ5</f>
        <v>0</v>
      </c>
      <c r="BK5" s="28">
        <f>'VMT Bridge BCA'!BK5+'VMT Holabird BCA'!BK5+'Bridge State of Good Repair'!BK5+'Keith State of Good Repair'!BK5</f>
        <v>0</v>
      </c>
      <c r="BL5" s="28">
        <f>'VMT Bridge BCA'!BL5+'VMT Holabird BCA'!BL5+'Bridge State of Good Repair'!BL5+'Keith State of Good Repair'!BL5</f>
        <v>0</v>
      </c>
      <c r="BM5" s="28">
        <f>'VMT Bridge BCA'!BM5+'VMT Holabird BCA'!BM5+'Bridge State of Good Repair'!BM5+'Keith State of Good Repair'!BM5</f>
        <v>0</v>
      </c>
      <c r="BN5" s="28">
        <f>'VMT Bridge BCA'!BN5+'VMT Holabird BCA'!BN5+'Bridge State of Good Repair'!BN5+'Keith State of Good Repair'!BN5</f>
        <v>0</v>
      </c>
      <c r="BO5" s="88">
        <v>0</v>
      </c>
      <c r="BP5" s="97">
        <f>'Bridge State of Good Repair'!BP5</f>
        <v>0</v>
      </c>
      <c r="BQ5" s="97">
        <f>'Bridge State of Good Repair'!BQ5</f>
        <v>0</v>
      </c>
    </row>
    <row r="6" spans="1:69" s="64" customFormat="1" ht="15">
      <c r="A6" s="72">
        <v>2017</v>
      </c>
      <c r="B6" s="99">
        <v>2</v>
      </c>
      <c r="C6" s="220">
        <f>'VMT Bridge BCA'!C6+'VMT Holabird BCA'!C6+'Bridge State of Good Repair'!C6+'Keith State of Good Repair'!C6</f>
        <v>56326</v>
      </c>
      <c r="D6" s="64">
        <f>'VMT Bridge BCA'!D6+'VMT Holabird BCA'!D6+'Bridge State of Good Repair'!D6+'Keith State of Good Repair'!D6</f>
        <v>3883</v>
      </c>
      <c r="E6" s="220">
        <f>'VMT Bridge BCA'!E6+'VMT Holabird BCA'!E6+'Bridge State of Good Repair'!E6+'Keith State of Good Repair'!E6</f>
        <v>437373.3767452631</v>
      </c>
      <c r="F6" s="241">
        <f>'VMT Bridge BCA'!F6+'VMT Holabird BCA'!F6+'Bridge State of Good Repair'!F6+'Keith State of Good Repair'!F6</f>
        <v>4588.512488421052</v>
      </c>
      <c r="Q6" s="91">
        <f>'VMT Bridge BCA'!Q6+'VMT Holabird BCA'!Q6+'Bridge State of Good Repair'!Q6+'Keith State of Good Repair'!Q6</f>
        <v>0</v>
      </c>
      <c r="R6" s="27">
        <f>'VMT Bridge BCA'!R6+'VMT Holabird BCA'!R6+'Bridge State of Good Repair'!R6+'Keith State of Good Repair'!R6</f>
        <v>0</v>
      </c>
      <c r="S6" s="28">
        <f>'VMT Bridge BCA'!S6+'VMT Holabird BCA'!S6+'Bridge State of Good Repair'!S6+'Keith State of Good Repair'!S6</f>
        <v>0</v>
      </c>
      <c r="T6" s="91">
        <f>'VMT Bridge BCA'!T6+'VMT Holabird BCA'!T6+'Bridge State of Good Repair'!T6+'Keith State of Good Repair'!T6</f>
        <v>0</v>
      </c>
      <c r="U6" s="27">
        <f>'VMT Bridge BCA'!U6+'VMT Holabird BCA'!U6+'Bridge State of Good Repair'!U6+'Keith State of Good Repair'!U6</f>
        <v>0</v>
      </c>
      <c r="V6" s="28">
        <f>'VMT Bridge BCA'!V6+'VMT Holabird BCA'!V6+'Bridge State of Good Repair'!V6+'Keith State of Good Repair'!V6</f>
        <v>0</v>
      </c>
      <c r="W6" s="91">
        <f>'VMT Bridge BCA'!W6+'VMT Holabird BCA'!W6+'Bridge State of Good Repair'!W6+'Keith State of Good Repair'!W6</f>
        <v>0</v>
      </c>
      <c r="X6" s="27">
        <f>'VMT Bridge BCA'!X6+'VMT Holabird BCA'!X6+'Bridge State of Good Repair'!X6+'Keith State of Good Repair'!X6</f>
        <v>0</v>
      </c>
      <c r="Y6" s="28">
        <f>'VMT Bridge BCA'!Y6+'VMT Holabird BCA'!Y6+'Bridge State of Good Repair'!Y6+'Keith State of Good Repair'!Y6</f>
        <v>0</v>
      </c>
      <c r="Z6" s="91">
        <f>'VMT Bridge BCA'!Z6+'VMT Holabird BCA'!Z6+'Bridge State of Good Repair'!Z6+'Keith State of Good Repair'!Z6</f>
        <v>0</v>
      </c>
      <c r="AA6" s="27">
        <f>'VMT Bridge BCA'!AA6+'VMT Holabird BCA'!AA6+'Bridge State of Good Repair'!AA6+'Keith State of Good Repair'!AA6</f>
        <v>0</v>
      </c>
      <c r="AB6" s="28">
        <f>'VMT Bridge BCA'!AB6+'VMT Holabird BCA'!AB6+'Bridge State of Good Repair'!AB6+'Keith State of Good Repair'!AB6</f>
        <v>0</v>
      </c>
      <c r="AC6" s="91">
        <f>'VMT Bridge BCA'!AC6+'VMT Holabird BCA'!AC6+'Bridge State of Good Repair'!AC6+'Keith State of Good Repair'!AC6</f>
        <v>0</v>
      </c>
      <c r="AD6" s="27">
        <f>'VMT Bridge BCA'!AD6+'VMT Holabird BCA'!AD6+'Bridge State of Good Repair'!AD6+'Keith State of Good Repair'!AD6</f>
        <v>0</v>
      </c>
      <c r="AE6" s="28">
        <f>'VMT Bridge BCA'!AE6+'VMT Holabird BCA'!AE6+'Bridge State of Good Repair'!AE6+'Keith State of Good Repair'!AE6</f>
        <v>0</v>
      </c>
      <c r="AF6" s="20">
        <f>'VMT Bridge BCA'!AF6+'VMT Holabird BCA'!AF6+'Bridge State of Good Repair'!AF6+'Keith State of Good Repair'!AF6</f>
        <v>0</v>
      </c>
      <c r="AG6" s="20">
        <f>'VMT Bridge BCA'!AG6+'VMT Holabird BCA'!AG6+'Bridge State of Good Repair'!AG6+'Keith State of Good Repair'!AG6</f>
        <v>0</v>
      </c>
      <c r="AH6" s="28">
        <f>'VMT Bridge BCA'!AH6+'VMT Holabird BCA'!AH6+'Bridge State of Good Repair'!AH6+'Keith State of Good Repair'!AH6</f>
        <v>0</v>
      </c>
      <c r="AI6" s="28">
        <f>'VMT Bridge BCA'!AI6+'VMT Holabird BCA'!AI6+'Bridge State of Good Repair'!AI6+'Keith State of Good Repair'!AI6</f>
        <v>0</v>
      </c>
      <c r="AJ6" s="28">
        <f>'VMT Bridge BCA'!AJ6+'VMT Holabird BCA'!AJ6+'Bridge State of Good Repair'!AJ6+'Keith State of Good Repair'!AJ6</f>
        <v>0</v>
      </c>
      <c r="AK6" s="20">
        <f>'VMT Bridge BCA'!AK6+'VMT Holabird BCA'!AK6+'Bridge State of Good Repair'!AK6+'Keith State of Good Repair'!AK6</f>
        <v>0</v>
      </c>
      <c r="AL6" s="20">
        <f>'VMT Bridge BCA'!AL6+'VMT Holabird BCA'!AL6+'Bridge State of Good Repair'!AL6+'Keith State of Good Repair'!AL6</f>
        <v>0</v>
      </c>
      <c r="AM6" s="68">
        <v>27.69</v>
      </c>
      <c r="AN6" s="28">
        <f>'VMT Bridge BCA'!AN6+'VMT Holabird BCA'!AN6+'Bridge State of Good Repair'!AN6+'Keith State of Good Repair'!AN6</f>
        <v>0</v>
      </c>
      <c r="AO6" s="67">
        <f t="shared" si="0"/>
        <v>0.9425959091337544</v>
      </c>
      <c r="AP6" s="28">
        <f>'VMT Bridge BCA'!AP6+'VMT Holabird BCA'!AP6+'Bridge State of Good Repair'!AP6+'Keith State of Good Repair'!AP6</f>
        <v>0</v>
      </c>
      <c r="AQ6" s="28">
        <f>'VMT Bridge BCA'!AQ6+'VMT Holabird BCA'!AQ6+'Bridge State of Good Repair'!AQ6+'Keith State of Good Repair'!AQ6</f>
        <v>0</v>
      </c>
      <c r="AR6" s="28">
        <f>'VMT Bridge BCA'!AR6+'VMT Holabird BCA'!AR6+'Bridge State of Good Repair'!AR6+'Keith State of Good Repair'!AR6</f>
        <v>0</v>
      </c>
      <c r="AS6" s="28">
        <f>'VMT Bridge BCA'!AS6+'VMT Holabird BCA'!AS6+'Bridge State of Good Repair'!AS6+'Keith State of Good Repair'!AS6</f>
        <v>0</v>
      </c>
      <c r="AT6" s="28">
        <f>'VMT Bridge BCA'!AT6+'VMT Holabird BCA'!AT6+'Bridge State of Good Repair'!AT6+'Keith State of Good Repair'!AT6</f>
        <v>0</v>
      </c>
      <c r="AU6" s="28">
        <f>'VMT Bridge BCA'!AU6+'VMT Holabird BCA'!AU6+'Bridge State of Good Repair'!AU6+'Keith State of Good Repair'!AU6</f>
        <v>0</v>
      </c>
      <c r="AV6" s="28">
        <f>'VMT Bridge BCA'!AV6+'VMT Holabird BCA'!AV6+'Bridge State of Good Repair'!AV6+'Keith State of Good Repair'!AV6</f>
        <v>0</v>
      </c>
      <c r="AW6" s="28">
        <f>'VMT Bridge BCA'!AW6+'VMT Holabird BCA'!AW6+'Bridge State of Good Repair'!AW6+'Keith State of Good Repair'!AW6</f>
        <v>0</v>
      </c>
      <c r="AX6" s="28">
        <f>'VMT Bridge BCA'!AX6+'VMT Holabird BCA'!AX6+'Bridge State of Good Repair'!AX6+'Keith State of Good Repair'!AX6</f>
        <v>0</v>
      </c>
      <c r="AY6" s="67">
        <f t="shared" si="1"/>
        <v>0.8734387282732116</v>
      </c>
      <c r="AZ6" s="28">
        <f>'VMT Bridge BCA'!AZ6+'VMT Holabird BCA'!AZ6+'Bridge State of Good Repair'!AZ6+'Keith State of Good Repair'!AZ6</f>
        <v>0</v>
      </c>
      <c r="BA6" s="28">
        <f>'VMT Bridge BCA'!BA6+'VMT Holabird BCA'!BA6+'Bridge State of Good Repair'!BA6+'Keith State of Good Repair'!BA6</f>
        <v>0</v>
      </c>
      <c r="BB6" s="28">
        <f>'VMT Bridge BCA'!BB6+'VMT Holabird BCA'!BB6+'Bridge State of Good Repair'!BB6+'Keith State of Good Repair'!BB6</f>
        <v>0</v>
      </c>
      <c r="BC6" s="28">
        <f>'VMT Bridge BCA'!BC6+'VMT Holabird BCA'!BC6+'Bridge State of Good Repair'!BC6+'Keith State of Good Repair'!BC6</f>
        <v>0</v>
      </c>
      <c r="BD6" s="28">
        <f>'VMT Bridge BCA'!BD6+'VMT Holabird BCA'!BD6+'Bridge State of Good Repair'!BD6+'Keith State of Good Repair'!BD6</f>
        <v>0</v>
      </c>
      <c r="BE6" s="28">
        <f>'VMT Bridge BCA'!BE6+'VMT Holabird BCA'!BE6+'Bridge State of Good Repair'!BE6+'Keith State of Good Repair'!BE6</f>
        <v>0</v>
      </c>
      <c r="BF6" s="28">
        <f>'VMT Bridge BCA'!BF6+'VMT Holabird BCA'!BF6+'Bridge State of Good Repair'!BF6+'Keith State of Good Repair'!BF6</f>
        <v>0</v>
      </c>
      <c r="BG6" s="28">
        <f>'VMT Bridge BCA'!BG6+'VMT Holabird BCA'!BG6+'Bridge State of Good Repair'!BG6+'Keith State of Good Repair'!BG6</f>
        <v>0</v>
      </c>
      <c r="BH6" s="28">
        <f>'VMT Bridge BCA'!BH6+'VMT Holabird BCA'!BH6+'Bridge State of Good Repair'!BH6+'Keith State of Good Repair'!BH6</f>
        <v>0</v>
      </c>
      <c r="BI6" s="28">
        <f>'VMT Bridge BCA'!BI6+'VMT Holabird BCA'!BI6+'Bridge State of Good Repair'!BI6+'Keith State of Good Repair'!BI6</f>
        <v>0</v>
      </c>
      <c r="BJ6" s="28">
        <f>'VMT Bridge BCA'!BJ6+'VMT Holabird BCA'!BJ6+'Bridge State of Good Repair'!BJ6+'Keith State of Good Repair'!BJ6</f>
        <v>0</v>
      </c>
      <c r="BK6" s="28">
        <f>'VMT Bridge BCA'!BK6+'VMT Holabird BCA'!BK6+'Bridge State of Good Repair'!BK6+'Keith State of Good Repair'!BK6</f>
        <v>0</v>
      </c>
      <c r="BL6" s="28">
        <f>'VMT Bridge BCA'!BL6+'VMT Holabird BCA'!BL6+'Bridge State of Good Repair'!BL6+'Keith State of Good Repair'!BL6</f>
        <v>0</v>
      </c>
      <c r="BM6" s="28">
        <f>'VMT Bridge BCA'!BM6+'VMT Holabird BCA'!BM6+'Bridge State of Good Repair'!BM6+'Keith State of Good Repair'!BM6</f>
        <v>0</v>
      </c>
      <c r="BN6" s="28">
        <f>'VMT Bridge BCA'!BN6+'VMT Holabird BCA'!BN6+'Bridge State of Good Repair'!BN6+'Keith State of Good Repair'!BN6</f>
        <v>0</v>
      </c>
      <c r="BO6" s="88">
        <v>0</v>
      </c>
      <c r="BP6" s="97">
        <f>'Bridge State of Good Repair'!BP6</f>
        <v>0</v>
      </c>
      <c r="BQ6" s="97">
        <f>'Bridge State of Good Repair'!BQ6</f>
        <v>0</v>
      </c>
    </row>
    <row r="7" spans="1:69" s="64" customFormat="1" ht="15">
      <c r="A7" s="71">
        <v>2018</v>
      </c>
      <c r="B7" s="98">
        <v>3</v>
      </c>
      <c r="C7" s="220">
        <f>'VMT Bridge BCA'!C7+'VMT Holabird BCA'!C7+'Bridge State of Good Repair'!C7+'Keith State of Good Repair'!C7</f>
        <v>79878</v>
      </c>
      <c r="D7" s="64">
        <f>'VMT Bridge BCA'!D7+'VMT Holabird BCA'!D7+'Bridge State of Good Repair'!D7+'Keith State of Good Repair'!D7</f>
        <v>4078</v>
      </c>
      <c r="E7" s="220">
        <f>'VMT Bridge BCA'!E7+'VMT Holabird BCA'!E7+'Bridge State of Good Repair'!E7+'Keith State of Good Repair'!E7</f>
        <v>674686.7118442104</v>
      </c>
      <c r="F7" s="241">
        <f>'VMT Bridge BCA'!F7+'VMT Holabird BCA'!F7+'Bridge State of Good Repair'!F7+'Keith State of Good Repair'!F7</f>
        <v>4818.942551578946</v>
      </c>
      <c r="Q7" s="91">
        <f>'VMT Bridge BCA'!Q7+'VMT Holabird BCA'!Q7+'Bridge State of Good Repair'!Q7+'Keith State of Good Repair'!Q7</f>
        <v>0</v>
      </c>
      <c r="R7" s="27">
        <f>'VMT Bridge BCA'!R7+'VMT Holabird BCA'!R7+'Bridge State of Good Repair'!R7+'Keith State of Good Repair'!R7</f>
        <v>0</v>
      </c>
      <c r="S7" s="28">
        <f>'VMT Bridge BCA'!S7+'VMT Holabird BCA'!S7+'Bridge State of Good Repair'!S7+'Keith State of Good Repair'!S7</f>
        <v>0</v>
      </c>
      <c r="T7" s="91">
        <f>'VMT Bridge BCA'!T7+'VMT Holabird BCA'!T7+'Bridge State of Good Repair'!T7+'Keith State of Good Repair'!T7</f>
        <v>0</v>
      </c>
      <c r="U7" s="27">
        <f>'VMT Bridge BCA'!U7+'VMT Holabird BCA'!U7+'Bridge State of Good Repair'!U7+'Keith State of Good Repair'!U7</f>
        <v>0</v>
      </c>
      <c r="V7" s="28">
        <f>'VMT Bridge BCA'!V7+'VMT Holabird BCA'!V7+'Bridge State of Good Repair'!V7+'Keith State of Good Repair'!V7</f>
        <v>0</v>
      </c>
      <c r="W7" s="91">
        <f>'VMT Bridge BCA'!W7+'VMT Holabird BCA'!W7+'Bridge State of Good Repair'!W7+'Keith State of Good Repair'!W7</f>
        <v>0</v>
      </c>
      <c r="X7" s="27">
        <f>'VMT Bridge BCA'!X7+'VMT Holabird BCA'!X7+'Bridge State of Good Repair'!X7+'Keith State of Good Repair'!X7</f>
        <v>0</v>
      </c>
      <c r="Y7" s="28">
        <f>'VMT Bridge BCA'!Y7+'VMT Holabird BCA'!Y7+'Bridge State of Good Repair'!Y7+'Keith State of Good Repair'!Y7</f>
        <v>0</v>
      </c>
      <c r="Z7" s="91">
        <f>'VMT Bridge BCA'!Z7+'VMT Holabird BCA'!Z7+'Bridge State of Good Repair'!Z7+'Keith State of Good Repair'!Z7</f>
        <v>0</v>
      </c>
      <c r="AA7" s="27">
        <f>'VMT Bridge BCA'!AA7+'VMT Holabird BCA'!AA7+'Bridge State of Good Repair'!AA7+'Keith State of Good Repair'!AA7</f>
        <v>0</v>
      </c>
      <c r="AB7" s="28">
        <f>'VMT Bridge BCA'!AB7+'VMT Holabird BCA'!AB7+'Bridge State of Good Repair'!AB7+'Keith State of Good Repair'!AB7</f>
        <v>0</v>
      </c>
      <c r="AC7" s="91">
        <f>'VMT Bridge BCA'!AC7+'VMT Holabird BCA'!AC7+'Bridge State of Good Repair'!AC7+'Keith State of Good Repair'!AC7</f>
        <v>0</v>
      </c>
      <c r="AD7" s="27">
        <f>'VMT Bridge BCA'!AD7+'VMT Holabird BCA'!AD7+'Bridge State of Good Repair'!AD7+'Keith State of Good Repair'!AD7</f>
        <v>0</v>
      </c>
      <c r="AE7" s="28">
        <f>'VMT Bridge BCA'!AE7+'VMT Holabird BCA'!AE7+'Bridge State of Good Repair'!AE7+'Keith State of Good Repair'!AE7</f>
        <v>0</v>
      </c>
      <c r="AF7" s="20">
        <f>'VMT Bridge BCA'!AF7+'VMT Holabird BCA'!AF7+'Bridge State of Good Repair'!AF7+'Keith State of Good Repair'!AF7</f>
        <v>0</v>
      </c>
      <c r="AG7" s="20">
        <f>'VMT Bridge BCA'!AG7+'VMT Holabird BCA'!AG7+'Bridge State of Good Repair'!AG7+'Keith State of Good Repair'!AG7</f>
        <v>0</v>
      </c>
      <c r="AH7" s="28">
        <f>'VMT Bridge BCA'!AH7+'VMT Holabird BCA'!AH7+'Bridge State of Good Repair'!AH7+'Keith State of Good Repair'!AH7</f>
        <v>0</v>
      </c>
      <c r="AI7" s="28">
        <f>'VMT Bridge BCA'!AI7+'VMT Holabird BCA'!AI7+'Bridge State of Good Repair'!AI7+'Keith State of Good Repair'!AI7</f>
        <v>0</v>
      </c>
      <c r="AJ7" s="28">
        <f>'VMT Bridge BCA'!AJ7+'VMT Holabird BCA'!AJ7+'Bridge State of Good Repair'!AJ7+'Keith State of Good Repair'!AJ7</f>
        <v>0</v>
      </c>
      <c r="AK7" s="20">
        <f>'VMT Bridge BCA'!AK7+'VMT Holabird BCA'!AK7+'Bridge State of Good Repair'!AK7+'Keith State of Good Repair'!AK7</f>
        <v>0</v>
      </c>
      <c r="AL7" s="20">
        <f>'VMT Bridge BCA'!AL7+'VMT Holabird BCA'!AL7+'Bridge State of Good Repair'!AL7+'Keith State of Good Repair'!AL7</f>
        <v>0</v>
      </c>
      <c r="AM7" s="68">
        <v>28.26</v>
      </c>
      <c r="AN7" s="28">
        <f>'VMT Bridge BCA'!AN7+'VMT Holabird BCA'!AN7+'Bridge State of Good Repair'!AN7+'Keith State of Good Repair'!AN7</f>
        <v>0</v>
      </c>
      <c r="AO7" s="67">
        <f t="shared" si="0"/>
        <v>0.9151416593531596</v>
      </c>
      <c r="AP7" s="28">
        <f>'VMT Bridge BCA'!AP7+'VMT Holabird BCA'!AP7+'Bridge State of Good Repair'!AP7+'Keith State of Good Repair'!AP7</f>
        <v>0</v>
      </c>
      <c r="AQ7" s="28">
        <f>'VMT Bridge BCA'!AQ7+'VMT Holabird BCA'!AQ7+'Bridge State of Good Repair'!AQ7+'Keith State of Good Repair'!AQ7</f>
        <v>0</v>
      </c>
      <c r="AR7" s="28">
        <f>'VMT Bridge BCA'!AR7+'VMT Holabird BCA'!AR7+'Bridge State of Good Repair'!AR7+'Keith State of Good Repair'!AR7</f>
        <v>0</v>
      </c>
      <c r="AS7" s="28">
        <f>'VMT Bridge BCA'!AS7+'VMT Holabird BCA'!AS7+'Bridge State of Good Repair'!AS7+'Keith State of Good Repair'!AS7</f>
        <v>0</v>
      </c>
      <c r="AT7" s="28">
        <f>'VMT Bridge BCA'!AT7+'VMT Holabird BCA'!AT7+'Bridge State of Good Repair'!AT7+'Keith State of Good Repair'!AT7</f>
        <v>0</v>
      </c>
      <c r="AU7" s="28">
        <f>'VMT Bridge BCA'!AU7+'VMT Holabird BCA'!AU7+'Bridge State of Good Repair'!AU7+'Keith State of Good Repair'!AU7</f>
        <v>0</v>
      </c>
      <c r="AV7" s="28">
        <f>'VMT Bridge BCA'!AV7+'VMT Holabird BCA'!AV7+'Bridge State of Good Repair'!AV7+'Keith State of Good Repair'!AV7</f>
        <v>0</v>
      </c>
      <c r="AW7" s="28">
        <f>'VMT Bridge BCA'!AW7+'VMT Holabird BCA'!AW7+'Bridge State of Good Repair'!AW7+'Keith State of Good Repair'!AW7</f>
        <v>0</v>
      </c>
      <c r="AX7" s="28">
        <f>'VMT Bridge BCA'!AX7+'VMT Holabird BCA'!AX7+'Bridge State of Good Repair'!AX7+'Keith State of Good Repair'!AX7</f>
        <v>0</v>
      </c>
      <c r="AY7" s="67">
        <f t="shared" si="1"/>
        <v>0.8162978768908519</v>
      </c>
      <c r="AZ7" s="28">
        <f>'VMT Bridge BCA'!AZ7+'VMT Holabird BCA'!AZ7+'Bridge State of Good Repair'!AZ7+'Keith State of Good Repair'!AZ7</f>
        <v>0</v>
      </c>
      <c r="BA7" s="28">
        <f>'VMT Bridge BCA'!BA7+'VMT Holabird BCA'!BA7+'Bridge State of Good Repair'!BA7+'Keith State of Good Repair'!BA7</f>
        <v>0</v>
      </c>
      <c r="BB7" s="28">
        <f>'VMT Bridge BCA'!BB7+'VMT Holabird BCA'!BB7+'Bridge State of Good Repair'!BB7+'Keith State of Good Repair'!BB7</f>
        <v>0</v>
      </c>
      <c r="BC7" s="28">
        <f>'VMT Bridge BCA'!BC7+'VMT Holabird BCA'!BC7+'Bridge State of Good Repair'!BC7+'Keith State of Good Repair'!BC7</f>
        <v>0</v>
      </c>
      <c r="BD7" s="28">
        <f>'VMT Bridge BCA'!BD7+'VMT Holabird BCA'!BD7+'Bridge State of Good Repair'!BD7+'Keith State of Good Repair'!BD7</f>
        <v>0</v>
      </c>
      <c r="BE7" s="28">
        <f>'VMT Bridge BCA'!BE7+'VMT Holabird BCA'!BE7+'Bridge State of Good Repair'!BE7+'Keith State of Good Repair'!BE7</f>
        <v>0</v>
      </c>
      <c r="BF7" s="28">
        <f>'VMT Bridge BCA'!BF7+'VMT Holabird BCA'!BF7+'Bridge State of Good Repair'!BF7+'Keith State of Good Repair'!BF7</f>
        <v>0</v>
      </c>
      <c r="BG7" s="28">
        <f>'VMT Bridge BCA'!BG7+'VMT Holabird BCA'!BG7+'Bridge State of Good Repair'!BG7+'Keith State of Good Repair'!BG7</f>
        <v>0</v>
      </c>
      <c r="BH7" s="28">
        <f>'VMT Bridge BCA'!BH7+'VMT Holabird BCA'!BH7+'Bridge State of Good Repair'!BH7+'Keith State of Good Repair'!BH7</f>
        <v>0</v>
      </c>
      <c r="BI7" s="28">
        <f>'VMT Bridge BCA'!BI7+'VMT Holabird BCA'!BI7+'Bridge State of Good Repair'!BI7+'Keith State of Good Repair'!BI7</f>
        <v>0</v>
      </c>
      <c r="BJ7" s="28">
        <f>'VMT Bridge BCA'!BJ7+'VMT Holabird BCA'!BJ7+'Bridge State of Good Repair'!BJ7+'Keith State of Good Repair'!BJ7</f>
        <v>0</v>
      </c>
      <c r="BK7" s="28">
        <f>'VMT Bridge BCA'!BK7+'VMT Holabird BCA'!BK7+'Bridge State of Good Repair'!BK7+'Keith State of Good Repair'!BK7</f>
        <v>0</v>
      </c>
      <c r="BL7" s="28">
        <f>'VMT Bridge BCA'!BL7+'VMT Holabird BCA'!BL7+'Bridge State of Good Repair'!BL7+'Keith State of Good Repair'!BL7</f>
        <v>0</v>
      </c>
      <c r="BM7" s="28">
        <f>'VMT Bridge BCA'!BM7+'VMT Holabird BCA'!BM7+'Bridge State of Good Repair'!BM7+'Keith State of Good Repair'!BM7</f>
        <v>0</v>
      </c>
      <c r="BN7" s="28">
        <f>'VMT Bridge BCA'!BN7+'VMT Holabird BCA'!BN7+'Bridge State of Good Repair'!BN7+'Keith State of Good Repair'!BN7</f>
        <v>0</v>
      </c>
      <c r="BO7" s="88">
        <v>0</v>
      </c>
      <c r="BP7" s="97">
        <f>'Bridge State of Good Repair'!BP7</f>
        <v>0</v>
      </c>
      <c r="BQ7" s="97">
        <f>'Bridge State of Good Repair'!BQ7</f>
        <v>0</v>
      </c>
    </row>
    <row r="8" spans="1:69" s="64" customFormat="1" ht="15">
      <c r="A8" s="72">
        <v>2019</v>
      </c>
      <c r="B8" s="99">
        <v>4</v>
      </c>
      <c r="C8" s="220">
        <f>'VMT Bridge BCA'!C8+'VMT Holabird BCA'!C8+'Bridge State of Good Repair'!C8+'Keith State of Good Repair'!C8</f>
        <v>104607</v>
      </c>
      <c r="D8" s="64">
        <f>'VMT Bridge BCA'!D8+'VMT Holabird BCA'!D8+'Bridge State of Good Repair'!D8+'Keith State of Good Repair'!D8</f>
        <v>4282</v>
      </c>
      <c r="E8" s="220">
        <f>'VMT Bridge BCA'!E8+'VMT Holabird BCA'!E8+'Bridge State of Good Repair'!E8+'Keith State of Good Repair'!E8</f>
        <v>923853.9320210526</v>
      </c>
      <c r="F8" s="241">
        <f>'VMT Bridge BCA'!F8+'VMT Holabird BCA'!F8+'Bridge State of Good Repair'!F8+'Keith State of Good Repair'!F8</f>
        <v>5060.007848421052</v>
      </c>
      <c r="Q8" s="91">
        <f>'VMT Bridge BCA'!Q8+'VMT Holabird BCA'!Q8+'Bridge State of Good Repair'!Q8+'Keith State of Good Repair'!Q8</f>
        <v>0</v>
      </c>
      <c r="R8" s="27">
        <f>'VMT Bridge BCA'!R8+'VMT Holabird BCA'!R8+'Bridge State of Good Repair'!R8+'Keith State of Good Repair'!R8</f>
        <v>0</v>
      </c>
      <c r="S8" s="28">
        <f>'VMT Bridge BCA'!S8+'VMT Holabird BCA'!S8+'Bridge State of Good Repair'!S8+'Keith State of Good Repair'!S8</f>
        <v>0</v>
      </c>
      <c r="T8" s="91">
        <f>'VMT Bridge BCA'!T8+'VMT Holabird BCA'!T8+'Bridge State of Good Repair'!T8+'Keith State of Good Repair'!T8</f>
        <v>0</v>
      </c>
      <c r="U8" s="27">
        <f>'VMT Bridge BCA'!U8+'VMT Holabird BCA'!U8+'Bridge State of Good Repair'!U8+'Keith State of Good Repair'!U8</f>
        <v>0</v>
      </c>
      <c r="V8" s="28">
        <f>'VMT Bridge BCA'!V8+'VMT Holabird BCA'!V8+'Bridge State of Good Repair'!V8+'Keith State of Good Repair'!V8</f>
        <v>0</v>
      </c>
      <c r="W8" s="91">
        <f>'VMT Bridge BCA'!W8+'VMT Holabird BCA'!W8+'Bridge State of Good Repair'!W8+'Keith State of Good Repair'!W8</f>
        <v>0</v>
      </c>
      <c r="X8" s="27">
        <f>'VMT Bridge BCA'!X8+'VMT Holabird BCA'!X8+'Bridge State of Good Repair'!X8+'Keith State of Good Repair'!X8</f>
        <v>0</v>
      </c>
      <c r="Y8" s="28">
        <f>'VMT Bridge BCA'!Y8+'VMT Holabird BCA'!Y8+'Bridge State of Good Repair'!Y8+'Keith State of Good Repair'!Y8</f>
        <v>0</v>
      </c>
      <c r="Z8" s="91">
        <f>'VMT Bridge BCA'!Z8+'VMT Holabird BCA'!Z8+'Bridge State of Good Repair'!Z8+'Keith State of Good Repair'!Z8</f>
        <v>0</v>
      </c>
      <c r="AA8" s="27">
        <f>'VMT Bridge BCA'!AA8+'VMT Holabird BCA'!AA8+'Bridge State of Good Repair'!AA8+'Keith State of Good Repair'!AA8</f>
        <v>0</v>
      </c>
      <c r="AB8" s="28">
        <f>'VMT Bridge BCA'!AB8+'VMT Holabird BCA'!AB8+'Bridge State of Good Repair'!AB8+'Keith State of Good Repair'!AB8</f>
        <v>0</v>
      </c>
      <c r="AC8" s="91">
        <f>'VMT Bridge BCA'!AC8+'VMT Holabird BCA'!AC8+'Bridge State of Good Repair'!AC8+'Keith State of Good Repair'!AC8</f>
        <v>0</v>
      </c>
      <c r="AD8" s="27">
        <f>'VMT Bridge BCA'!AD8+'VMT Holabird BCA'!AD8+'Bridge State of Good Repair'!AD8+'Keith State of Good Repair'!AD8</f>
        <v>0</v>
      </c>
      <c r="AE8" s="28">
        <f>'VMT Bridge BCA'!AE8+'VMT Holabird BCA'!AE8+'Bridge State of Good Repair'!AE8+'Keith State of Good Repair'!AE8</f>
        <v>0</v>
      </c>
      <c r="AF8" s="20">
        <f>'VMT Bridge BCA'!AF8+'VMT Holabird BCA'!AF8+'Bridge State of Good Repair'!AF8+'Keith State of Good Repair'!AF8</f>
        <v>0</v>
      </c>
      <c r="AG8" s="20">
        <f>'VMT Bridge BCA'!AG8+'VMT Holabird BCA'!AG8+'Bridge State of Good Repair'!AG8+'Keith State of Good Repair'!AG8</f>
        <v>0</v>
      </c>
      <c r="AH8" s="28">
        <f>'VMT Bridge BCA'!AH8+'VMT Holabird BCA'!AH8+'Bridge State of Good Repair'!AH8+'Keith State of Good Repair'!AH8</f>
        <v>0</v>
      </c>
      <c r="AI8" s="28">
        <f>'VMT Bridge BCA'!AI8+'VMT Holabird BCA'!AI8+'Bridge State of Good Repair'!AI8+'Keith State of Good Repair'!AI8</f>
        <v>0</v>
      </c>
      <c r="AJ8" s="28">
        <f>'VMT Bridge BCA'!AJ8+'VMT Holabird BCA'!AJ8+'Bridge State of Good Repair'!AJ8+'Keith State of Good Repair'!AJ8</f>
        <v>0</v>
      </c>
      <c r="AK8" s="20">
        <f>'VMT Bridge BCA'!AK8+'VMT Holabird BCA'!AK8+'Bridge State of Good Repair'!AK8+'Keith State of Good Repair'!AK8</f>
        <v>0</v>
      </c>
      <c r="AL8" s="20">
        <f>'VMT Bridge BCA'!AL8+'VMT Holabird BCA'!AL8+'Bridge State of Good Repair'!AL8+'Keith State of Good Repair'!AL8</f>
        <v>0</v>
      </c>
      <c r="AM8" s="68">
        <v>28.83</v>
      </c>
      <c r="AN8" s="28">
        <f>'VMT Bridge BCA'!AN8+'VMT Holabird BCA'!AN8+'Bridge State of Good Repair'!AN8+'Keith State of Good Repair'!AN8</f>
        <v>0</v>
      </c>
      <c r="AO8" s="67">
        <f t="shared" si="0"/>
        <v>0.888487047915689</v>
      </c>
      <c r="AP8" s="28">
        <f>'VMT Bridge BCA'!AP8+'VMT Holabird BCA'!AP8+'Bridge State of Good Repair'!AP8+'Keith State of Good Repair'!AP8</f>
        <v>0</v>
      </c>
      <c r="AQ8" s="28">
        <f>'VMT Bridge BCA'!AQ8+'VMT Holabird BCA'!AQ8+'Bridge State of Good Repair'!AQ8+'Keith State of Good Repair'!AQ8</f>
        <v>0</v>
      </c>
      <c r="AR8" s="28">
        <f>'VMT Bridge BCA'!AR8+'VMT Holabird BCA'!AR8+'Bridge State of Good Repair'!AR8+'Keith State of Good Repair'!AR8</f>
        <v>0</v>
      </c>
      <c r="AS8" s="28">
        <f>'VMT Bridge BCA'!AS8+'VMT Holabird BCA'!AS8+'Bridge State of Good Repair'!AS8+'Keith State of Good Repair'!AS8</f>
        <v>0</v>
      </c>
      <c r="AT8" s="28">
        <f>'VMT Bridge BCA'!AT8+'VMT Holabird BCA'!AT8+'Bridge State of Good Repair'!AT8+'Keith State of Good Repair'!AT8</f>
        <v>0</v>
      </c>
      <c r="AU8" s="28">
        <f>'VMT Bridge BCA'!AU8+'VMT Holabird BCA'!AU8+'Bridge State of Good Repair'!AU8+'Keith State of Good Repair'!AU8</f>
        <v>0</v>
      </c>
      <c r="AV8" s="28">
        <f>'VMT Bridge BCA'!AV8+'VMT Holabird BCA'!AV8+'Bridge State of Good Repair'!AV8+'Keith State of Good Repair'!AV8</f>
        <v>0</v>
      </c>
      <c r="AW8" s="28">
        <f>'VMT Bridge BCA'!AW8+'VMT Holabird BCA'!AW8+'Bridge State of Good Repair'!AW8+'Keith State of Good Repair'!AW8</f>
        <v>0</v>
      </c>
      <c r="AX8" s="28">
        <f>'VMT Bridge BCA'!AX8+'VMT Holabird BCA'!AX8+'Bridge State of Good Repair'!AX8+'Keith State of Good Repair'!AX8</f>
        <v>0</v>
      </c>
      <c r="AY8" s="67">
        <f t="shared" si="1"/>
        <v>0.7628952120475252</v>
      </c>
      <c r="AZ8" s="28">
        <f>'VMT Bridge BCA'!AZ8+'VMT Holabird BCA'!AZ8+'Bridge State of Good Repair'!AZ8+'Keith State of Good Repair'!AZ8</f>
        <v>0</v>
      </c>
      <c r="BA8" s="28">
        <f>'VMT Bridge BCA'!BA8+'VMT Holabird BCA'!BA8+'Bridge State of Good Repair'!BA8+'Keith State of Good Repair'!BA8</f>
        <v>0</v>
      </c>
      <c r="BB8" s="28">
        <f>'VMT Bridge BCA'!BB8+'VMT Holabird BCA'!BB8+'Bridge State of Good Repair'!BB8+'Keith State of Good Repair'!BB8</f>
        <v>0</v>
      </c>
      <c r="BC8" s="28">
        <f>'VMT Bridge BCA'!BC8+'VMT Holabird BCA'!BC8+'Bridge State of Good Repair'!BC8+'Keith State of Good Repair'!BC8</f>
        <v>0</v>
      </c>
      <c r="BD8" s="28">
        <f>'VMT Bridge BCA'!BD8+'VMT Holabird BCA'!BD8+'Bridge State of Good Repair'!BD8+'Keith State of Good Repair'!BD8</f>
        <v>0</v>
      </c>
      <c r="BE8" s="28">
        <f>'VMT Bridge BCA'!BE8+'VMT Holabird BCA'!BE8+'Bridge State of Good Repair'!BE8+'Keith State of Good Repair'!BE8</f>
        <v>0</v>
      </c>
      <c r="BF8" s="28">
        <f>'VMT Bridge BCA'!BF8+'VMT Holabird BCA'!BF8+'Bridge State of Good Repair'!BF8+'Keith State of Good Repair'!BF8</f>
        <v>0</v>
      </c>
      <c r="BG8" s="28">
        <f>'VMT Bridge BCA'!BG8+'VMT Holabird BCA'!BG8+'Bridge State of Good Repair'!BG8+'Keith State of Good Repair'!BG8</f>
        <v>0</v>
      </c>
      <c r="BH8" s="28">
        <f>'VMT Bridge BCA'!BH8+'VMT Holabird BCA'!BH8+'Bridge State of Good Repair'!BH8+'Keith State of Good Repair'!BH8</f>
        <v>0</v>
      </c>
      <c r="BI8" s="28">
        <f>'VMT Bridge BCA'!BI8+'VMT Holabird BCA'!BI8+'Bridge State of Good Repair'!BI8+'Keith State of Good Repair'!BI8</f>
        <v>0</v>
      </c>
      <c r="BJ8" s="28">
        <f>'VMT Bridge BCA'!BJ8+'VMT Holabird BCA'!BJ8+'Bridge State of Good Repair'!BJ8+'Keith State of Good Repair'!BJ8</f>
        <v>0</v>
      </c>
      <c r="BK8" s="28">
        <f>'VMT Bridge BCA'!BK8+'VMT Holabird BCA'!BK8+'Bridge State of Good Repair'!BK8+'Keith State of Good Repair'!BK8</f>
        <v>0</v>
      </c>
      <c r="BL8" s="28">
        <f>'VMT Bridge BCA'!BL8+'VMT Holabird BCA'!BL8+'Bridge State of Good Repair'!BL8+'Keith State of Good Repair'!BL8</f>
        <v>0</v>
      </c>
      <c r="BM8" s="28">
        <f>'VMT Bridge BCA'!BM8+'VMT Holabird BCA'!BM8+'Bridge State of Good Repair'!BM8+'Keith State of Good Repair'!BM8</f>
        <v>0</v>
      </c>
      <c r="BN8" s="28">
        <f>'VMT Bridge BCA'!BN8+'VMT Holabird BCA'!BN8+'Bridge State of Good Repair'!BN8+'Keith State of Good Repair'!BN8</f>
        <v>0</v>
      </c>
      <c r="BO8" s="88">
        <v>0</v>
      </c>
      <c r="BP8" s="97">
        <f>'Bridge State of Good Repair'!BP8</f>
        <v>0</v>
      </c>
      <c r="BQ8" s="97">
        <f>'Bridge State of Good Repair'!BQ8</f>
        <v>0</v>
      </c>
    </row>
    <row r="9" spans="1:69" s="64" customFormat="1" ht="15">
      <c r="A9" s="71">
        <v>2020</v>
      </c>
      <c r="B9" s="99">
        <v>5</v>
      </c>
      <c r="C9" s="220">
        <f>'VMT Bridge BCA'!C9+'VMT Holabird BCA'!C9+'Bridge State of Good Repair'!C9+'Keith State of Good Repair'!C9</f>
        <v>130571</v>
      </c>
      <c r="D9" s="64">
        <f>'VMT Bridge BCA'!D9+'VMT Holabird BCA'!D9+'Bridge State of Good Repair'!D9+'Keith State of Good Repair'!D9</f>
        <v>4495</v>
      </c>
      <c r="E9" s="220">
        <f>'VMT Bridge BCA'!E9+'VMT Holabird BCA'!E9+'Bridge State of Good Repair'!E9+'Keith State of Good Repair'!E9</f>
        <v>1185477.6572757894</v>
      </c>
      <c r="F9" s="241">
        <f>'VMT Bridge BCA'!F9+'VMT Holabird BCA'!F9+'Bridge State of Good Repair'!F9+'Keith State of Good Repair'!F9</f>
        <v>5311.708378947367</v>
      </c>
      <c r="Q9" s="91">
        <f>'VMT Bridge BCA'!Q9+'VMT Holabird BCA'!Q9+'Bridge State of Good Repair'!Q9+'Keith State of Good Repair'!Q9</f>
        <v>171404.64089331057</v>
      </c>
      <c r="R9" s="27">
        <f>'VMT Bridge BCA'!R9+'VMT Holabird BCA'!R9+'Bridge State of Good Repair'!R9+'Keith State of Good Repair'!R9</f>
        <v>7.240210166704566</v>
      </c>
      <c r="S9" s="28">
        <f>'VMT Bridge BCA'!S9+'VMT Holabird BCA'!S9+'Bridge State of Good Repair'!S9+'Keith State of Good Repair'!S9</f>
        <v>171411.88110347727</v>
      </c>
      <c r="T9" s="91">
        <f>'VMT Bridge BCA'!T9+'VMT Holabird BCA'!T9+'Bridge State of Good Repair'!T9+'Keith State of Good Repair'!T9</f>
        <v>298903.76075230085</v>
      </c>
      <c r="U9" s="27">
        <f>'VMT Bridge BCA'!U9+'VMT Holabird BCA'!U9+'Bridge State of Good Repair'!U9+'Keith State of Good Repair'!U9</f>
        <v>557.4961828362515</v>
      </c>
      <c r="V9" s="28">
        <f>'VMT Bridge BCA'!V9+'VMT Holabird BCA'!V9+'Bridge State of Good Repair'!V9+'Keith State of Good Repair'!V9</f>
        <v>299461.2569351371</v>
      </c>
      <c r="W9" s="91">
        <f>'VMT Bridge BCA'!W9+'VMT Holabird BCA'!W9+'Bridge State of Good Repair'!W9+'Keith State of Good Repair'!W9</f>
        <v>18689.012730927952</v>
      </c>
      <c r="X9" s="27">
        <f>'VMT Bridge BCA'!X9+'VMT Holabird BCA'!X9+'Bridge State of Good Repair'!X9+'Keith State of Good Repair'!X9</f>
        <v>86.15850098378432</v>
      </c>
      <c r="Y9" s="28">
        <f>'VMT Bridge BCA'!Y9+'VMT Holabird BCA'!Y9+'Bridge State of Good Repair'!Y9+'Keith State of Good Repair'!Y9</f>
        <v>18775.171231911736</v>
      </c>
      <c r="Z9" s="91">
        <f>'VMT Bridge BCA'!Z9+'VMT Holabird BCA'!Z9+'Bridge State of Good Repair'!Z9+'Keith State of Good Repair'!Z9</f>
        <v>72968.40622771</v>
      </c>
      <c r="AA9" s="27">
        <f>'VMT Bridge BCA'!AA9+'VMT Holabird BCA'!AA9+'Bridge State of Good Repair'!AA9+'Keith State of Good Repair'!AA9</f>
        <v>96.29479521717072</v>
      </c>
      <c r="AB9" s="28">
        <f>'VMT Bridge BCA'!AB9+'VMT Holabird BCA'!AB9+'Bridge State of Good Repair'!AB9+'Keith State of Good Repair'!AB9</f>
        <v>73064.70102292718</v>
      </c>
      <c r="AC9" s="91">
        <f>'VMT Bridge BCA'!AC9+'VMT Holabird BCA'!AC9+'Bridge State of Good Repair'!AC9+'Keith State of Good Repair'!AC9</f>
        <v>44698.42300565847</v>
      </c>
      <c r="AD9" s="27">
        <f>'VMT Bridge BCA'!AD9+'VMT Holabird BCA'!AD9+'Bridge State of Good Repair'!AD9+'Keith State of Good Repair'!AD9</f>
        <v>6.5161891500341085</v>
      </c>
      <c r="AE9" s="28">
        <f>'VMT Bridge BCA'!AE9+'VMT Holabird BCA'!AE9+'Bridge State of Good Repair'!AE9+'Keith State of Good Repair'!AE9</f>
        <v>44704.9391948085</v>
      </c>
      <c r="AF9" s="20">
        <f>'VMT Bridge BCA'!AF9+'VMT Holabird BCA'!AF9+'Bridge State of Good Repair'!AF9+'Keith State of Good Repair'!AF9</f>
        <v>192300.26407674025</v>
      </c>
      <c r="AG9" s="20">
        <f>'VMT Bridge BCA'!AG9+'VMT Holabird BCA'!AG9+'Bridge State of Good Repair'!AG9+'Keith State of Good Repair'!AG9</f>
        <v>216.80442363050477</v>
      </c>
      <c r="AH9" s="28">
        <f>'VMT Bridge BCA'!AH9+'VMT Holabird BCA'!AH9+'Bridge State of Good Repair'!AH9+'Keith State of Good Repair'!AH9</f>
        <v>396585.1611107637</v>
      </c>
      <c r="AI9" s="28">
        <f>'VMT Bridge BCA'!AI9+'VMT Holabird BCA'!AI9+'Bridge State of Good Repair'!AI9+'Keith State of Good Repair'!AI9</f>
        <v>-46921.26443472462</v>
      </c>
      <c r="AJ9" s="28">
        <f>'VMT Bridge BCA'!AJ9+'VMT Holabird BCA'!AJ9+'Bridge State of Good Repair'!AJ9+'Keith State of Good Repair'!AJ9</f>
        <v>-39.892013948012874</v>
      </c>
      <c r="AK9" s="20">
        <f>'VMT Bridge BCA'!AK9+'VMT Holabird BCA'!AK9+'Bridge State of Good Repair'!AK9+'Keith State of Good Repair'!AK9</f>
        <v>17967092.086547367</v>
      </c>
      <c r="AL9" s="20">
        <f>'VMT Bridge BCA'!AL9+'VMT Holabird BCA'!AL9+'Bridge State of Good Repair'!AL9+'Keith State of Good Repair'!AL9</f>
        <v>1286.6234643176572</v>
      </c>
      <c r="AM9" s="68">
        <v>29.4</v>
      </c>
      <c r="AN9" s="28">
        <f>'VMT Bridge BCA'!AN9+'VMT Holabird BCA'!AN9+'Bridge State of Good Repair'!AN9+'Keith State of Good Repair'!AN9</f>
        <v>37826.729850939126</v>
      </c>
      <c r="AO9" s="67">
        <f t="shared" si="0"/>
        <v>0.8626087843841641</v>
      </c>
      <c r="AP9" s="28">
        <f>'VMT Bridge BCA'!AP9+'VMT Holabird BCA'!AP9+'Bridge State of Good Repair'!AP9+'Keith State of Good Repair'!AP9</f>
        <v>147861.39438767338</v>
      </c>
      <c r="AQ9" s="28">
        <f>'VMT Bridge BCA'!AQ9+'VMT Holabird BCA'!AQ9+'Bridge State of Good Repair'!AQ9+'Keith State of Good Repair'!AQ9</f>
        <v>258317.91081497248</v>
      </c>
      <c r="AR9" s="28">
        <f>'VMT Bridge BCA'!AR9+'VMT Holabird BCA'!AR9+'Bridge State of Good Repair'!AR9+'Keith State of Good Repair'!AR9</f>
        <v>16195.627632963911</v>
      </c>
      <c r="AS9" s="28">
        <f>'VMT Bridge BCA'!AS9+'VMT Holabird BCA'!AS9+'Bridge State of Good Repair'!AS9+'Keith State of Good Repair'!AS9</f>
        <v>63026.25293077961</v>
      </c>
      <c r="AT9" s="28">
        <f>'VMT Bridge BCA'!AT9+'VMT Holabird BCA'!AT9+'Bridge State of Good Repair'!AT9+'Keith State of Good Repair'!AT9</f>
        <v>38562.87325480174</v>
      </c>
      <c r="AU9" s="28">
        <f>'VMT Bridge BCA'!AU9+'VMT Holabird BCA'!AU9+'Bridge State of Good Repair'!AU9+'Keith State of Good Repair'!AU9</f>
        <v>342097.8437305538</v>
      </c>
      <c r="AV9" s="28">
        <f>'VMT Bridge BCA'!AV9+'VMT Holabird BCA'!AV9+'Bridge State of Good Repair'!AV9+'Keith State of Good Repair'!AV9</f>
        <v>-40474.69487580571</v>
      </c>
      <c r="AW9" s="28">
        <f>'VMT Bridge BCA'!AW9+'VMT Holabird BCA'!AW9+'Bridge State of Good Repair'!AW9+'Keith State of Good Repair'!AW9</f>
        <v>-34.41120165833151</v>
      </c>
      <c r="AX9" s="28">
        <f>'VMT Bridge BCA'!AX9+'VMT Holabird BCA'!AX9+'Bridge State of Good Repair'!AX9+'Keith State of Good Repair'!AX9</f>
        <v>32629.66945394677</v>
      </c>
      <c r="AY9" s="67">
        <f t="shared" si="1"/>
        <v>0.7129861794836684</v>
      </c>
      <c r="AZ9" s="28">
        <f>'VMT Bridge BCA'!AZ9+'VMT Holabird BCA'!AZ9+'Bridge State of Good Repair'!AZ9+'Keith State of Good Repair'!AZ9</f>
        <v>122214.30222607707</v>
      </c>
      <c r="BA9" s="28">
        <f>'VMT Bridge BCA'!BA9+'VMT Holabird BCA'!BA9+'Bridge State of Good Repair'!BA9+'Keith State of Good Repair'!BA9</f>
        <v>213511.73748556062</v>
      </c>
      <c r="BB9" s="28">
        <f>'VMT Bridge BCA'!BB9+'VMT Holabird BCA'!BB9+'Bridge State of Good Repair'!BB9+'Keith State of Good Repair'!BB9</f>
        <v>13386.43760579243</v>
      </c>
      <c r="BC9" s="28">
        <f>'VMT Bridge BCA'!BC9+'VMT Holabird BCA'!BC9+'Bridge State of Good Repair'!BC9+'Keith State of Good Repair'!BC9</f>
        <v>52094.12203745333</v>
      </c>
      <c r="BD9" s="28">
        <f>'VMT Bridge BCA'!BD9+'VMT Holabird BCA'!BD9+'Bridge State of Good Repair'!BD9+'Keith State of Good Repair'!BD9</f>
        <v>31874.003800556216</v>
      </c>
      <c r="BE9" s="28">
        <f>'VMT Bridge BCA'!BE9+'VMT Holabird BCA'!BE9+'Bridge State of Good Repair'!BE9+'Keith State of Good Repair'!BE9</f>
        <v>282759.73886027856</v>
      </c>
      <c r="BF9" s="28">
        <f>'VMT Bridge BCA'!BF9+'VMT Holabird BCA'!BF9+'Bridge State of Good Repair'!BF9+'Keith State of Good Repair'!BF9</f>
        <v>-33454.213065857235</v>
      </c>
      <c r="BG9" s="28">
        <f>'VMT Bridge BCA'!BG9+'VMT Holabird BCA'!BG9+'Bridge State of Good Repair'!BG9+'Keith State of Good Repair'!BG9</f>
        <v>-28.44245461670291</v>
      </c>
      <c r="BH9" s="28">
        <f>'VMT Bridge BCA'!BH9+'VMT Holabird BCA'!BH9+'Bridge State of Good Repair'!BH9+'Keith State of Good Repair'!BH9</f>
        <v>26969.935598781918</v>
      </c>
      <c r="BI9" s="28">
        <f>'VMT Bridge BCA'!BI9+'VMT Holabird BCA'!BI9+'Bridge State of Good Repair'!BI9+'Keith State of Good Repair'!BI9</f>
        <v>600000</v>
      </c>
      <c r="BJ9" s="28">
        <f>'VMT Bridge BCA'!BJ9+'VMT Holabird BCA'!BJ9+'Bridge State of Good Repair'!BJ9+'Keith State of Good Repair'!BJ9</f>
        <v>517565.2706304985</v>
      </c>
      <c r="BK9" s="28">
        <f>'VMT Bridge BCA'!BK9+'VMT Holabird BCA'!BK9+'Bridge State of Good Repair'!BK9+'Keith State of Good Repair'!BK9</f>
        <v>427791.70769020106</v>
      </c>
      <c r="BL9" s="28">
        <f>'VMT Bridge BCA'!BL9+'VMT Holabird BCA'!BL9+'Bridge State of Good Repair'!BL9+'Keith State of Good Repair'!BL9</f>
        <v>5500</v>
      </c>
      <c r="BM9" s="28">
        <f>'VMT Bridge BCA'!BM9+'VMT Holabird BCA'!BM9+'Bridge State of Good Repair'!BM9+'Keith State of Good Repair'!BM9</f>
        <v>4744.348314112902</v>
      </c>
      <c r="BN9" s="28">
        <f>'VMT Bridge BCA'!BN9+'VMT Holabird BCA'!BN9+'Bridge State of Good Repair'!BN9+'Keith State of Good Repair'!BN9</f>
        <v>3921.423987160176</v>
      </c>
      <c r="BO9" s="88">
        <f>'Complete Streets Bio Retention'!$A$21</f>
        <v>15736.62181254302</v>
      </c>
      <c r="BP9" s="97">
        <f>AO9*BO9</f>
        <v>13574.548212031055</v>
      </c>
      <c r="BQ9" s="97">
        <f>AY9*BO9</f>
        <v>11219.993864104408</v>
      </c>
    </row>
    <row r="10" spans="1:69" s="9" customFormat="1" ht="15">
      <c r="A10" s="72">
        <v>2021</v>
      </c>
      <c r="B10" s="98">
        <v>6</v>
      </c>
      <c r="C10" s="220">
        <f>'VMT Bridge BCA'!C10+'VMT Holabird BCA'!C10+'Bridge State of Good Repair'!C10+'Keith State of Good Repair'!C10</f>
        <v>136022</v>
      </c>
      <c r="D10" s="64">
        <f>'VMT Bridge BCA'!D10+'VMT Holabird BCA'!D10+'Bridge State of Good Repair'!D10+'Keith State of Good Repair'!D10</f>
        <v>4538</v>
      </c>
      <c r="E10" s="220">
        <f>'VMT Bridge BCA'!E10+'VMT Holabird BCA'!E10+'Bridge State of Good Repair'!E10+'Keith State of Good Repair'!E10</f>
        <v>1240411.582665263</v>
      </c>
      <c r="F10" s="241">
        <f>'VMT Bridge BCA'!F10+'VMT Holabird BCA'!F10+'Bridge State of Good Repair'!F10+'Keith State of Good Repair'!F10</f>
        <v>5362.521162105262</v>
      </c>
      <c r="G10" s="9">
        <v>0.56</v>
      </c>
      <c r="H10" s="9">
        <v>0.27</v>
      </c>
      <c r="I10" s="9">
        <v>0.01</v>
      </c>
      <c r="J10" s="9">
        <v>0.06</v>
      </c>
      <c r="K10" s="9">
        <v>0.04</v>
      </c>
      <c r="L10" s="9">
        <v>0.001</v>
      </c>
      <c r="M10" s="9">
        <v>0.11</v>
      </c>
      <c r="N10" s="9">
        <v>0.02</v>
      </c>
      <c r="O10" s="9">
        <v>0.02</v>
      </c>
      <c r="P10" s="9">
        <v>0.0009</v>
      </c>
      <c r="Q10" s="91">
        <f>'VMT Bridge BCA'!Q10+'VMT Holabird BCA'!Q10+'Bridge State of Good Repair'!Q10+'Keith State of Good Repair'!Q10</f>
        <v>178303.29993587534</v>
      </c>
      <c r="R10" s="27">
        <f>'VMT Bridge BCA'!R10+'VMT Holabird BCA'!R10+'Bridge State of Good Repair'!R10+'Keith State of Good Repair'!R10</f>
        <v>7.309471354061251</v>
      </c>
      <c r="S10" s="28">
        <f>'VMT Bridge BCA'!S10+'VMT Holabird BCA'!S10+'Bridge State of Good Repair'!S10+'Keith State of Good Repair'!S10</f>
        <v>178310.6094072294</v>
      </c>
      <c r="T10" s="91">
        <f>'VMT Bridge BCA'!T10+'VMT Holabird BCA'!T10+'Bridge State of Good Repair'!T10+'Keith State of Good Repair'!T10</f>
        <v>310973.80871015944</v>
      </c>
      <c r="U10" s="27">
        <f>'VMT Bridge BCA'!U10+'VMT Holabird BCA'!U10+'Bridge State of Good Repair'!U10+'Keith State of Good Repair'!U10</f>
        <v>562.8292942627162</v>
      </c>
      <c r="V10" s="28">
        <f>'VMT Bridge BCA'!V10+'VMT Holabird BCA'!V10+'Bridge State of Good Repair'!V10+'Keith State of Good Repair'!V10</f>
        <v>311536.6380044222</v>
      </c>
      <c r="W10" s="91">
        <f>'VMT Bridge BCA'!W10+'VMT Holabird BCA'!W10+'Bridge State of Good Repair'!W10+'Keith State of Good Repair'!W10</f>
        <v>19443.775707646295</v>
      </c>
      <c r="X10" s="27">
        <f>'VMT Bridge BCA'!X10+'VMT Holabird BCA'!X10+'Bridge State of Good Repair'!X10+'Keith State of Good Repair'!X10</f>
        <v>86.98270911332887</v>
      </c>
      <c r="Y10" s="28">
        <f>'VMT Bridge BCA'!Y10+'VMT Holabird BCA'!Y10+'Bridge State of Good Repair'!Y10+'Keith State of Good Repair'!Y10</f>
        <v>19530.75841675962</v>
      </c>
      <c r="Z10" s="91">
        <f>'VMT Bridge BCA'!Z10+'VMT Holabird BCA'!Z10+'Bridge State of Good Repair'!Z10+'Keith State of Good Repair'!Z10</f>
        <v>75915.26341507118</v>
      </c>
      <c r="AA10" s="27">
        <f>'VMT Bridge BCA'!AA10+'VMT Holabird BCA'!AA10+'Bridge State of Good Repair'!AA10+'Keith State of Good Repair'!AA10</f>
        <v>97.21596900901463</v>
      </c>
      <c r="AB10" s="28">
        <f>'VMT Bridge BCA'!AB10+'VMT Holabird BCA'!AB10+'Bridge State of Good Repair'!AB10+'Keith State of Good Repair'!AB10</f>
        <v>76012.47938408019</v>
      </c>
      <c r="AC10" s="91">
        <f>'VMT Bridge BCA'!AC10+'VMT Holabird BCA'!AC10+'Bridge State of Good Repair'!AC10+'Keith State of Good Repair'!AC10</f>
        <v>46503.3610600132</v>
      </c>
      <c r="AD10" s="27">
        <f>'VMT Bridge BCA'!AD10+'VMT Holabird BCA'!AD10+'Bridge State of Good Repair'!AD10+'Keith State of Good Repair'!AD10</f>
        <v>6.578524218655125</v>
      </c>
      <c r="AE10" s="28">
        <f>'VMT Bridge BCA'!AE10+'VMT Holabird BCA'!AE10+'Bridge State of Good Repair'!AE10+'Keith State of Good Repair'!AE10</f>
        <v>46509.939584231855</v>
      </c>
      <c r="AF10" s="20">
        <f>'VMT Bridge BCA'!AF10+'VMT Holabird BCA'!AF10+'Bridge State of Good Repair'!AF10+'Keith State of Good Repair'!AF10</f>
        <v>200066.38430084885</v>
      </c>
      <c r="AG10" s="20">
        <f>'VMT Bridge BCA'!AG10+'VMT Holabird BCA'!AG10+'Bridge State of Good Repair'!AG10+'Keith State of Good Repair'!AG10</f>
        <v>218.87841477980663</v>
      </c>
      <c r="AH10" s="28">
        <f>'VMT Bridge BCA'!AH10+'VMT Holabird BCA'!AH10+'Bridge State of Good Repair'!AH10+'Keith State of Good Repair'!AH10</f>
        <v>412587.6411941951</v>
      </c>
      <c r="AI10" s="28">
        <f>'VMT Bridge BCA'!AI10+'VMT Holabird BCA'!AI10+'Bridge State of Good Repair'!AI10+'Keith State of Good Repair'!AI10</f>
        <v>-48816.197769407125</v>
      </c>
      <c r="AJ10" s="28">
        <f>'VMT Bridge BCA'!AJ10+'VMT Holabird BCA'!AJ10+'Bridge State of Good Repair'!AJ10+'Keith State of Good Repair'!AJ10</f>
        <v>-40.273628319484416</v>
      </c>
      <c r="AK10" s="20">
        <f>'VMT Bridge BCA'!AK10+'VMT Holabird BCA'!AK10+'Bridge State of Good Repair'!AK10+'Keith State of Good Repair'!AK10</f>
        <v>18690138.909915786</v>
      </c>
      <c r="AL10" s="20">
        <f>'VMT Bridge BCA'!AL10+'VMT Holabird BCA'!AL10+'Bridge State of Good Repair'!AL10+'Keith State of Good Repair'!AL10</f>
        <v>1338.4008473390695</v>
      </c>
      <c r="AM10" s="212">
        <f>'VMT Bridge BCA'!AM10+'VMT Holabird BCA'!AM10</f>
        <v>59.94</v>
      </c>
      <c r="AN10" s="28">
        <f>'VMT Bridge BCA'!AN10+'VMT Holabird BCA'!AN10+'Bridge State of Good Repair'!AN10+'Keith State of Good Repair'!AN10</f>
        <v>40111.873394751914</v>
      </c>
      <c r="AO10" s="67">
        <f t="shared" si="0"/>
        <v>0.8374842566836544</v>
      </c>
      <c r="AP10" s="28">
        <f>'VMT Bridge BCA'!AP10+'VMT Holabird BCA'!AP10+'Bridge State of Good Repair'!AP10+'Keith State of Good Repair'!AP10</f>
        <v>149332.328178223</v>
      </c>
      <c r="AQ10" s="28">
        <f>'VMT Bridge BCA'!AQ10+'VMT Holabird BCA'!AQ10+'Bridge State of Good Repair'!AQ10+'Keith State of Good Repair'!AQ10</f>
        <v>260907.02970885826</v>
      </c>
      <c r="AR10" s="28">
        <f>'VMT Bridge BCA'!AR10+'VMT Holabird BCA'!AR10+'Bridge State of Good Repair'!AR10+'Keith State of Good Repair'!AR10</f>
        <v>16356.70269512796</v>
      </c>
      <c r="AS10" s="28">
        <f>'VMT Bridge BCA'!AS10+'VMT Holabird BCA'!AS10+'Bridge State of Good Repair'!AS10+'Keith State of Good Repair'!AS10</f>
        <v>63659.25479565801</v>
      </c>
      <c r="AT10" s="28">
        <f>'VMT Bridge BCA'!AT10+'VMT Holabird BCA'!AT10+'Bridge State of Good Repair'!AT10+'Keith State of Good Repair'!AT10</f>
        <v>38951.34218110209</v>
      </c>
      <c r="AU10" s="28">
        <f>'VMT Bridge BCA'!AU10+'VMT Holabird BCA'!AU10+'Bridge State of Good Repair'!AU10+'Keith State of Good Repair'!AU10</f>
        <v>345535.65400238277</v>
      </c>
      <c r="AV10" s="28">
        <f>'VMT Bridge BCA'!AV10+'VMT Holabird BCA'!AV10+'Bridge State of Good Repair'!AV10+'Keith State of Good Repair'!AV10</f>
        <v>-40882.797103034194</v>
      </c>
      <c r="AW10" s="28">
        <f>'VMT Bridge BCA'!AW10+'VMT Holabird BCA'!AW10+'Bridge State of Good Repair'!AW10+'Keith State of Good Repair'!AW10</f>
        <v>-33.72852967709718</v>
      </c>
      <c r="AX10" s="28">
        <f>'VMT Bridge BCA'!AX10+'VMT Holabird BCA'!AX10+'Bridge State of Good Repair'!AX10+'Keith State of Good Repair'!AX10</f>
        <v>33593.062474192666</v>
      </c>
      <c r="AY10" s="67">
        <f t="shared" si="1"/>
        <v>0.6663422238165125</v>
      </c>
      <c r="AZ10" s="28">
        <f>'VMT Bridge BCA'!AZ10+'VMT Holabird BCA'!AZ10+'Bridge State of Good Repair'!AZ10+'Keith State of Good Repair'!AZ10</f>
        <v>118815.88800249081</v>
      </c>
      <c r="BA10" s="28">
        <f>'VMT Bridge BCA'!BA10+'VMT Holabird BCA'!BA10+'Bridge State of Good Repair'!BA10+'Keith State of Good Repair'!BA10</f>
        <v>207590.01616818653</v>
      </c>
      <c r="BB10" s="28">
        <f>'VMT Bridge BCA'!BB10+'VMT Holabird BCA'!BB10+'Bridge State of Good Repair'!BB10+'Keith State of Good Repair'!BB10</f>
        <v>13014.168996246675</v>
      </c>
      <c r="BC10" s="28">
        <f>'VMT Bridge BCA'!BC10+'VMT Holabird BCA'!BC10+'Bridge State of Good Repair'!BC10+'Keith State of Good Repair'!BC10</f>
        <v>50650.32455059481</v>
      </c>
      <c r="BD10" s="28">
        <f>'VMT Bridge BCA'!BD10+'VMT Holabird BCA'!BD10+'Bridge State of Good Repair'!BD10+'Keith State of Good Repair'!BD10</f>
        <v>30991.536572128698</v>
      </c>
      <c r="BE10" s="28">
        <f>'VMT Bridge BCA'!BE10+'VMT Holabird BCA'!BE10+'Bridge State of Good Repair'!BE10+'Keith State of Good Repair'!BE10</f>
        <v>274924.5663525493</v>
      </c>
      <c r="BF10" s="28">
        <f>'VMT Bridge BCA'!BF10+'VMT Holabird BCA'!BF10+'Bridge State of Good Repair'!BF10+'Keith State of Good Repair'!BF10</f>
        <v>-32528.29377993342</v>
      </c>
      <c r="BG10" s="28">
        <f>'VMT Bridge BCA'!BG10+'VMT Holabird BCA'!BG10+'Bridge State of Good Repair'!BG10+'Keith State of Good Repair'!BG10</f>
        <v>-26.836019055564922</v>
      </c>
      <c r="BH10" s="28">
        <f>'VMT Bridge BCA'!BH10+'VMT Holabird BCA'!BH10+'Bridge State of Good Repair'!BH10+'Keith State of Good Repair'!BH10</f>
        <v>26728.234919305392</v>
      </c>
      <c r="BI10" s="28">
        <f>'VMT Bridge BCA'!BI10+'VMT Holabird BCA'!BI10+'Bridge State of Good Repair'!BI10+'Keith State of Good Repair'!BI10</f>
        <v>600000</v>
      </c>
      <c r="BJ10" s="28">
        <f>'VMT Bridge BCA'!BJ10+'VMT Holabird BCA'!BJ10+'Bridge State of Good Repair'!BJ10+'Keith State of Good Repair'!BJ10</f>
        <v>502490.5540101927</v>
      </c>
      <c r="BK10" s="28">
        <f>'VMT Bridge BCA'!BK10+'VMT Holabird BCA'!BK10+'Bridge State of Good Repair'!BK10+'Keith State of Good Repair'!BK10</f>
        <v>399805.3342899075</v>
      </c>
      <c r="BL10" s="28">
        <f>'VMT Bridge BCA'!BL10+'VMT Holabird BCA'!BL10+'Bridge State of Good Repair'!BL10+'Keith State of Good Repair'!BL10</f>
        <v>5500</v>
      </c>
      <c r="BM10" s="28">
        <f>'VMT Bridge BCA'!BM10+'VMT Holabird BCA'!BM10+'Bridge State of Good Repair'!BM10+'Keith State of Good Repair'!BM10</f>
        <v>4606.1634117601</v>
      </c>
      <c r="BN10" s="28">
        <f>'VMT Bridge BCA'!BN10+'VMT Holabird BCA'!BN10+'Bridge State of Good Repair'!BN10+'Keith State of Good Repair'!BN10</f>
        <v>3664.8822309908187</v>
      </c>
      <c r="BO10" s="88">
        <f>'Complete Streets Bio Retention'!$A$21</f>
        <v>15736.62181254302</v>
      </c>
      <c r="BP10" s="97">
        <f aca="true" t="shared" si="2" ref="BP10:BP34">AO10*BO10</f>
        <v>13179.173021389375</v>
      </c>
      <c r="BQ10" s="97">
        <f aca="true" t="shared" si="3" ref="BQ10:BQ34">AY10*BO10</f>
        <v>10485.975573929354</v>
      </c>
    </row>
    <row r="11" spans="1:69" s="9" customFormat="1" ht="15">
      <c r="A11" s="71">
        <v>2022</v>
      </c>
      <c r="B11" s="99">
        <v>7</v>
      </c>
      <c r="C11" s="220">
        <f>'VMT Bridge BCA'!C11+'VMT Holabird BCA'!C11+'Bridge State of Good Repair'!C11+'Keith State of Good Repair'!C11</f>
        <v>141530</v>
      </c>
      <c r="D11" s="64">
        <f>'VMT Bridge BCA'!D11+'VMT Holabird BCA'!D11+'Bridge State of Good Repair'!D11+'Keith State of Good Repair'!D11</f>
        <v>4584</v>
      </c>
      <c r="E11" s="220">
        <f>'VMT Bridge BCA'!E11+'VMT Holabird BCA'!E11+'Bridge State of Good Repair'!E11+'Keith State of Good Repair'!E11</f>
        <v>1295906.8097473683</v>
      </c>
      <c r="F11" s="241">
        <f>'VMT Bridge BCA'!F11+'VMT Holabird BCA'!F11+'Bridge State of Good Repair'!F11+'Keith State of Good Repair'!F11</f>
        <v>5416.879023157893</v>
      </c>
      <c r="G11" s="9">
        <v>0.56</v>
      </c>
      <c r="H11" s="9">
        <v>0.27</v>
      </c>
      <c r="I11" s="9">
        <v>0.01</v>
      </c>
      <c r="J11" s="9">
        <v>0.06</v>
      </c>
      <c r="K11" s="9">
        <v>0.04</v>
      </c>
      <c r="L11" s="9">
        <v>0.001</v>
      </c>
      <c r="M11" s="9">
        <v>0.11</v>
      </c>
      <c r="N11" s="9">
        <v>0.02</v>
      </c>
      <c r="O11" s="9">
        <v>0.02</v>
      </c>
      <c r="P11" s="9">
        <v>0.0009</v>
      </c>
      <c r="Q11" s="91">
        <f>'VMT Bridge BCA'!Q11+'VMT Holabird BCA'!Q11+'Bridge State of Good Repair'!Q11+'Keith State of Good Repair'!Q11</f>
        <v>186253.7196870339</v>
      </c>
      <c r="R11" s="27">
        <f>'VMT Bridge BCA'!R11+'VMT Holabird BCA'!R11+'Bridge State of Good Repair'!R11+'Keith State of Good Repair'!R11</f>
        <v>7.383564717280028</v>
      </c>
      <c r="S11" s="28">
        <f>'VMT Bridge BCA'!S11+'VMT Holabird BCA'!S11+'Bridge State of Good Repair'!S11+'Keith State of Good Repair'!S11</f>
        <v>186261.1032517512</v>
      </c>
      <c r="T11" s="91">
        <f>'VMT Bridge BCA'!T11+'VMT Holabird BCA'!T11+'Bridge State of Good Repair'!T11+'Keith State of Good Repair'!T11</f>
        <v>324885.10971709964</v>
      </c>
      <c r="U11" s="27">
        <f>'VMT Bridge BCA'!U11+'VMT Holabird BCA'!U11+'Bridge State of Good Repair'!U11+'Keith State of Good Repair'!U11</f>
        <v>568.5344832305622</v>
      </c>
      <c r="V11" s="28">
        <f>'VMT Bridge BCA'!V11+'VMT Holabird BCA'!V11+'Bridge State of Good Repair'!V11+'Keith State of Good Repair'!V11</f>
        <v>325453.6442003302</v>
      </c>
      <c r="W11" s="91">
        <f>'VMT Bridge BCA'!W11+'VMT Holabird BCA'!W11+'Bridge State of Good Repair'!W11+'Keith State of Good Repair'!W11</f>
        <v>20313.677894395332</v>
      </c>
      <c r="X11" s="27">
        <f>'VMT Bridge BCA'!X11+'VMT Holabird BCA'!X11+'Bridge State of Good Repair'!X11+'Keith State of Good Repair'!X11</f>
        <v>87.86442013563233</v>
      </c>
      <c r="Y11" s="28">
        <f>'VMT Bridge BCA'!Y11+'VMT Holabird BCA'!Y11+'Bridge State of Good Repair'!Y11+'Keith State of Good Repair'!Y11</f>
        <v>20401.542314530965</v>
      </c>
      <c r="Z11" s="91">
        <f>'VMT Bridge BCA'!Z11+'VMT Holabird BCA'!Z11+'Bridge State of Good Repair'!Z11+'Keith State of Good Repair'!Z11</f>
        <v>79311.66412681309</v>
      </c>
      <c r="AA11" s="27">
        <f>'VMT Bridge BCA'!AA11+'VMT Holabird BCA'!AA11+'Bridge State of Good Repair'!AA11+'Keith State of Good Repair'!AA11</f>
        <v>98.20141073982438</v>
      </c>
      <c r="AB11" s="28">
        <f>'VMT Bridge BCA'!AB11+'VMT Holabird BCA'!AB11+'Bridge State of Good Repair'!AB11+'Keith State of Good Repair'!AB11</f>
        <v>79409.8655375529</v>
      </c>
      <c r="AC11" s="91">
        <f>'VMT Bridge BCA'!AC11+'VMT Holabird BCA'!AC11+'Bridge State of Good Repair'!AC11+'Keith State of Good Repair'!AC11</f>
        <v>48583.63667902294</v>
      </c>
      <c r="AD11" s="27">
        <f>'VMT Bridge BCA'!AD11+'VMT Holabird BCA'!AD11+'Bridge State of Good Repair'!AD11+'Keith State of Good Repair'!AD11</f>
        <v>6.645208245552025</v>
      </c>
      <c r="AE11" s="28">
        <f>'VMT Bridge BCA'!AE11+'VMT Holabird BCA'!AE11+'Bridge State of Good Repair'!AE11+'Keith State of Good Repair'!AE11</f>
        <v>48590.28188726849</v>
      </c>
      <c r="AF11" s="20">
        <f>'VMT Bridge BCA'!AF11+'VMT Holabird BCA'!AF11+'Bridge State of Good Repair'!AF11+'Keith State of Good Repair'!AF11</f>
        <v>209017.2273786078</v>
      </c>
      <c r="AG11" s="20">
        <f>'VMT Bridge BCA'!AG11+'VMT Holabird BCA'!AG11+'Bridge State of Good Repair'!AG11+'Keith State of Good Repair'!AG11</f>
        <v>221.09710298603645</v>
      </c>
      <c r="AH11" s="28">
        <f>'VMT Bridge BCA'!AH11+'VMT Holabird BCA'!AH11+'Bridge State of Good Repair'!AH11+'Keith State of Good Repair'!AH11</f>
        <v>431030.9484320833</v>
      </c>
      <c r="AI11" s="28">
        <f>'VMT Bridge BCA'!AI11+'VMT Holabird BCA'!AI11+'Bridge State of Good Repair'!AI11+'Keith State of Good Repair'!AI11</f>
        <v>-51000.203480380296</v>
      </c>
      <c r="AJ11" s="28">
        <f>'VMT Bridge BCA'!AJ11+'VMT Holabird BCA'!AJ11+'Bridge State of Good Repair'!AJ11+'Keith State of Good Repair'!AJ11</f>
        <v>-40.681866949430706</v>
      </c>
      <c r="AK11" s="20">
        <f>'VMT Bridge BCA'!AK11+'VMT Holabird BCA'!AK11+'Bridge State of Good Repair'!AK11+'Keith State of Good Repair'!AK11</f>
        <v>19523418.1348421</v>
      </c>
      <c r="AL11" s="20">
        <f>'VMT Bridge BCA'!AL11+'VMT Holabird BCA'!AL11+'Bridge State of Good Repair'!AL11+'Keith State of Good Repair'!AL11</f>
        <v>1398.071972636043</v>
      </c>
      <c r="AM11" s="212">
        <f>'VMT Bridge BCA'!AM11+'VMT Holabird BCA'!AM11</f>
        <v>61.08</v>
      </c>
      <c r="AN11" s="28">
        <f>'VMT Bridge BCA'!AN11+'VMT Holabird BCA'!AN11+'Bridge State of Good Repair'!AN11+'Keith State of Good Repair'!AN11</f>
        <v>42697.118044304756</v>
      </c>
      <c r="AO11" s="67">
        <f t="shared" si="0"/>
        <v>0.8130915113433538</v>
      </c>
      <c r="AP11" s="28">
        <f>'VMT Bridge BCA'!AP11+'VMT Holabird BCA'!AP11+'Bridge State of Good Repair'!AP11+'Keith State of Good Repair'!AP11</f>
        <v>151447.32194744682</v>
      </c>
      <c r="AQ11" s="28">
        <f>'VMT Bridge BCA'!AQ11+'VMT Holabird BCA'!AQ11+'Bridge State of Good Repair'!AQ11+'Keith State of Good Repair'!AQ11</f>
        <v>264623.5954350486</v>
      </c>
      <c r="AR11" s="28">
        <f>'VMT Bridge BCA'!AR11+'VMT Holabird BCA'!AR11+'Bridge State of Good Repair'!AR11+'Keith State of Good Repair'!AR11</f>
        <v>16588.32087425737</v>
      </c>
      <c r="AS11" s="28">
        <f>'VMT Bridge BCA'!AS11+'VMT Holabird BCA'!AS11+'Bridge State of Good Repair'!AS11+'Keith State of Good Repair'!AS11</f>
        <v>64567.4875855014</v>
      </c>
      <c r="AT11" s="28">
        <f>'VMT Bridge BCA'!AT11+'VMT Holabird BCA'!AT11+'Bridge State of Good Repair'!AT11+'Keith State of Good Repair'!AT11</f>
        <v>39508.345736318726</v>
      </c>
      <c r="AU11" s="28">
        <f>'VMT Bridge BCA'!AU11+'VMT Holabird BCA'!AU11+'Bridge State of Good Repair'!AU11+'Keith State of Good Repair'!AU11</f>
        <v>350467.60529640183</v>
      </c>
      <c r="AV11" s="28">
        <f>'VMT Bridge BCA'!AV11+'VMT Holabird BCA'!AV11+'Bridge State of Good Repair'!AV11+'Keith State of Good Repair'!AV11</f>
        <v>-41467.832526680984</v>
      </c>
      <c r="AW11" s="28">
        <f>'VMT Bridge BCA'!AW11+'VMT Holabird BCA'!AW11+'Bridge State of Good Repair'!AW11+'Keith State of Good Repair'!AW11</f>
        <v>-33.07808068218185</v>
      </c>
      <c r="AX11" s="28">
        <f>'VMT Bridge BCA'!AX11+'VMT Holabird BCA'!AX11+'Bridge State of Good Repair'!AX11+'Keith State of Good Repair'!AX11</f>
        <v>34716.664240649334</v>
      </c>
      <c r="AY11" s="67">
        <f t="shared" si="1"/>
        <v>0.6227497418845911</v>
      </c>
      <c r="AZ11" s="28">
        <f>'VMT Bridge BCA'!AZ11+'VMT Holabird BCA'!AZ11+'Bridge State of Good Repair'!AZ11+'Keith State of Good Repair'!AZ11</f>
        <v>115994.05397316723</v>
      </c>
      <c r="BA11" s="28">
        <f>'VMT Bridge BCA'!BA11+'VMT Holabird BCA'!BA11+'Bridge State of Good Repair'!BA11+'Keith State of Good Repair'!BA11</f>
        <v>202676.1729211552</v>
      </c>
      <c r="BB11" s="28">
        <f>'VMT Bridge BCA'!BB11+'VMT Holabird BCA'!BB11+'Bridge State of Good Repair'!BB11+'Keith State of Good Repair'!BB11</f>
        <v>12705.055210421722</v>
      </c>
      <c r="BC11" s="28">
        <f>'VMT Bridge BCA'!BC11+'VMT Holabird BCA'!BC11+'Bridge State of Good Repair'!BC11+'Keith State of Good Repair'!BC11</f>
        <v>49452.47326660116</v>
      </c>
      <c r="BD11" s="28">
        <f>'VMT Bridge BCA'!BD11+'VMT Holabird BCA'!BD11+'Bridge State of Good Repair'!BD11+'Keith State of Good Repair'!BD11</f>
        <v>30259.585503395974</v>
      </c>
      <c r="BE11" s="28">
        <f>'VMT Bridge BCA'!BE11+'VMT Holabird BCA'!BE11+'Bridge State of Good Repair'!BE11+'Keith State of Good Repair'!BE11</f>
        <v>268424.4118803503</v>
      </c>
      <c r="BF11" s="28">
        <f>'VMT Bridge BCA'!BF11+'VMT Holabird BCA'!BF11+'Bridge State of Good Repair'!BF11+'Keith State of Good Repair'!BF11</f>
        <v>-31760.36355346845</v>
      </c>
      <c r="BG11" s="28">
        <f>'VMT Bridge BCA'!BG11+'VMT Holabird BCA'!BG11+'Bridge State of Good Repair'!BG11+'Keith State of Good Repair'!BG11</f>
        <v>-25.33462214214125</v>
      </c>
      <c r="BH11" s="28">
        <f>'VMT Bridge BCA'!BH11+'VMT Holabird BCA'!BH11+'Bridge State of Good Repair'!BH11+'Keith State of Good Repair'!BH11</f>
        <v>26589.619241306704</v>
      </c>
      <c r="BI11" s="28">
        <f>'VMT Bridge BCA'!BI11+'VMT Holabird BCA'!BI11+'Bridge State of Good Repair'!BI11+'Keith State of Good Repair'!BI11</f>
        <v>600000</v>
      </c>
      <c r="BJ11" s="28">
        <f>'VMT Bridge BCA'!BJ11+'VMT Holabird BCA'!BJ11+'Bridge State of Good Repair'!BJ11+'Keith State of Good Repair'!BJ11</f>
        <v>487854.90680601227</v>
      </c>
      <c r="BK11" s="28">
        <f>'VMT Bridge BCA'!BK11+'VMT Holabird BCA'!BK11+'Bridge State of Good Repair'!BK11+'Keith State of Good Repair'!BK11</f>
        <v>373649.84513075463</v>
      </c>
      <c r="BL11" s="28">
        <f>'VMT Bridge BCA'!BL11+'VMT Holabird BCA'!BL11+'Bridge State of Good Repair'!BL11+'Keith State of Good Repair'!BL11</f>
        <v>5500</v>
      </c>
      <c r="BM11" s="28">
        <f>'VMT Bridge BCA'!BM11+'VMT Holabird BCA'!BM11+'Bridge State of Good Repair'!BM11+'Keith State of Good Repair'!BM11</f>
        <v>4472.003312388446</v>
      </c>
      <c r="BN11" s="28">
        <f>'VMT Bridge BCA'!BN11+'VMT Holabird BCA'!BN11+'Bridge State of Good Repair'!BN11+'Keith State of Good Repair'!BN11</f>
        <v>3425.123580365251</v>
      </c>
      <c r="BO11" s="88">
        <f>'Complete Streets Bio Retention'!$A$21</f>
        <v>15736.62181254302</v>
      </c>
      <c r="BP11" s="97">
        <f t="shared" si="2"/>
        <v>12795.313612999393</v>
      </c>
      <c r="BQ11" s="97">
        <f t="shared" si="3"/>
        <v>9799.977171896591</v>
      </c>
    </row>
    <row r="12" spans="1:69" s="9" customFormat="1" ht="15">
      <c r="A12" s="72">
        <v>2023</v>
      </c>
      <c r="B12" s="99">
        <v>8</v>
      </c>
      <c r="C12" s="220">
        <f>'VMT Bridge BCA'!C12+'VMT Holabird BCA'!C12+'Bridge State of Good Repair'!C12+'Keith State of Good Repair'!C12</f>
        <v>147092</v>
      </c>
      <c r="D12" s="64">
        <f>'VMT Bridge BCA'!D12+'VMT Holabird BCA'!D12+'Bridge State of Good Repair'!D12+'Keith State of Good Repair'!D12</f>
        <v>4630</v>
      </c>
      <c r="E12" s="220">
        <f>'VMT Bridge BCA'!E12+'VMT Holabird BCA'!E12+'Bridge State of Good Repair'!E12+'Keith State of Good Repair'!E12</f>
        <v>1351952.2368294736</v>
      </c>
      <c r="F12" s="241">
        <f>'VMT Bridge BCA'!F12+'VMT Holabird BCA'!F12+'Bridge State of Good Repair'!F12+'Keith State of Good Repair'!F12</f>
        <v>5471.236884210525</v>
      </c>
      <c r="G12" s="9">
        <v>0.56</v>
      </c>
      <c r="H12" s="9">
        <v>0.27</v>
      </c>
      <c r="I12" s="9">
        <v>0.01</v>
      </c>
      <c r="J12" s="9">
        <v>0.06</v>
      </c>
      <c r="K12" s="9">
        <v>0.04</v>
      </c>
      <c r="L12" s="9">
        <v>0.001</v>
      </c>
      <c r="M12" s="9">
        <v>0.11</v>
      </c>
      <c r="N12" s="9">
        <v>0.02</v>
      </c>
      <c r="O12" s="9">
        <v>0.02</v>
      </c>
      <c r="P12" s="9">
        <v>0.0009</v>
      </c>
      <c r="Q12" s="91">
        <f>'VMT Bridge BCA'!Q12+'VMT Holabird BCA'!Q12+'Bridge State of Good Repair'!Q12+'Keith State of Good Repair'!Q12</f>
        <v>194282.88513575346</v>
      </c>
      <c r="R12" s="27">
        <f>'VMT Bridge BCA'!R12+'VMT Holabird BCA'!R12+'Bridge State of Good Repair'!R12+'Keith State of Good Repair'!R12</f>
        <v>7.457658080498808</v>
      </c>
      <c r="S12" s="28">
        <f>'VMT Bridge BCA'!S12+'VMT Holabird BCA'!S12+'Bridge State of Good Repair'!S12+'Keith State of Good Repair'!S12</f>
        <v>194290.34279383396</v>
      </c>
      <c r="T12" s="91">
        <f>'VMT Bridge BCA'!T12+'VMT Holabird BCA'!T12+'Bridge State of Good Repair'!T12+'Keith State of Good Repair'!T12</f>
        <v>338934.3281886252</v>
      </c>
      <c r="U12" s="27">
        <f>'VMT Bridge BCA'!U12+'VMT Holabird BCA'!U12+'Bridge State of Good Repair'!U12+'Keith State of Good Repair'!U12</f>
        <v>574.2396721984081</v>
      </c>
      <c r="V12" s="28">
        <f>'VMT Bridge BCA'!V12+'VMT Holabird BCA'!V12+'Bridge State of Good Repair'!V12+'Keith State of Good Repair'!V12</f>
        <v>339508.5678608236</v>
      </c>
      <c r="W12" s="91">
        <f>'VMT Bridge BCA'!W12+'VMT Holabird BCA'!W12+'Bridge State of Good Repair'!W12+'Keith State of Good Repair'!W12</f>
        <v>21192.204609924866</v>
      </c>
      <c r="X12" s="27">
        <f>'VMT Bridge BCA'!X12+'VMT Holabird BCA'!X12+'Bridge State of Good Repair'!X12+'Keith State of Good Repair'!X12</f>
        <v>88.74613115793579</v>
      </c>
      <c r="Y12" s="28">
        <f>'VMT Bridge BCA'!Y12+'VMT Holabird BCA'!Y12+'Bridge State of Good Repair'!Y12+'Keith State of Good Repair'!Y12</f>
        <v>21280.9507410828</v>
      </c>
      <c r="Z12" s="91">
        <f>'VMT Bridge BCA'!Z12+'VMT Holabird BCA'!Z12+'Bridge State of Good Repair'!Z12+'Keith State of Good Repair'!Z12</f>
        <v>82741.73799875013</v>
      </c>
      <c r="AA12" s="27">
        <f>'VMT Bridge BCA'!AA12+'VMT Holabird BCA'!AA12+'Bridge State of Good Repair'!AA12+'Keith State of Good Repair'!AA12</f>
        <v>99.18685247063414</v>
      </c>
      <c r="AB12" s="28">
        <f>'VMT Bridge BCA'!AB12+'VMT Holabird BCA'!AB12+'Bridge State of Good Repair'!AB12+'Keith State of Good Repair'!AB12</f>
        <v>82840.92485122077</v>
      </c>
      <c r="AC12" s="91">
        <f>'VMT Bridge BCA'!AC12+'VMT Holabird BCA'!AC12+'Bridge State of Good Repair'!AC12+'Keith State of Good Repair'!AC12</f>
        <v>50684.536171203414</v>
      </c>
      <c r="AD12" s="27">
        <f>'VMT Bridge BCA'!AD12+'VMT Holabird BCA'!AD12+'Bridge State of Good Repair'!AD12+'Keith State of Good Repair'!AD12</f>
        <v>6.711892272448926</v>
      </c>
      <c r="AE12" s="28">
        <f>'VMT Bridge BCA'!AE12+'VMT Holabird BCA'!AE12+'Bridge State of Good Repair'!AE12+'Keith State of Good Repair'!AE12</f>
        <v>50691.24806347586</v>
      </c>
      <c r="AF12" s="20">
        <f>'VMT Bridge BCA'!AF12+'VMT Holabird BCA'!AF12+'Bridge State of Good Repair'!AF12+'Keith State of Good Repair'!AF12</f>
        <v>218056.81239185057</v>
      </c>
      <c r="AG12" s="20">
        <f>'VMT Bridge BCA'!AG12+'VMT Holabird BCA'!AG12+'Bridge State of Good Repair'!AG12+'Keith State of Good Repair'!AG12</f>
        <v>223.31579119226635</v>
      </c>
      <c r="AH12" s="28">
        <f>'VMT Bridge BCA'!AH12+'VMT Holabird BCA'!AH12+'Bridge State of Good Repair'!AH12+'Keith State of Good Repair'!AH12</f>
        <v>449657.0640570683</v>
      </c>
      <c r="AI12" s="28">
        <f>'VMT Bridge BCA'!AI12+'VMT Holabird BCA'!AI12+'Bridge State of Good Repair'!AI12+'Keith State of Good Repair'!AI12</f>
        <v>-53205.86222361154</v>
      </c>
      <c r="AJ12" s="28">
        <f>'VMT Bridge BCA'!AJ12+'VMT Holabird BCA'!AJ12+'Bridge State of Good Repair'!AJ12+'Keith State of Good Repair'!AJ12</f>
        <v>-41.09010557937701</v>
      </c>
      <c r="AK12" s="20">
        <f>'VMT Bridge BCA'!AK12+'VMT Holabird BCA'!AK12+'Bridge State of Good Repair'!AK12+'Keith State of Good Repair'!AK12</f>
        <v>20364950.35976842</v>
      </c>
      <c r="AL12" s="20">
        <f>'VMT Bridge BCA'!AL12+'VMT Holabird BCA'!AL12+'Bridge State of Good Repair'!AL12+'Keith State of Good Repair'!AL12</f>
        <v>1458.3340952630167</v>
      </c>
      <c r="AM12" s="212">
        <f>'VMT Bridge BCA'!AM12+'VMT Holabird BCA'!AM12</f>
        <v>62.22</v>
      </c>
      <c r="AN12" s="28">
        <f>'VMT Bridge BCA'!AN12+'VMT Holabird BCA'!AN12+'Bridge State of Good Repair'!AN12+'Keith State of Good Repair'!AN12</f>
        <v>45368.77370363244</v>
      </c>
      <c r="AO12" s="67">
        <f t="shared" si="0"/>
        <v>0.7894092343139357</v>
      </c>
      <c r="AP12" s="28">
        <f>'VMT Bridge BCA'!AP12+'VMT Holabird BCA'!AP12+'Bridge State of Good Repair'!AP12+'Keith State of Good Repair'!AP12</f>
        <v>153374.59073947257</v>
      </c>
      <c r="AQ12" s="28">
        <f>'VMT Bridge BCA'!AQ12+'VMT Holabird BCA'!AQ12+'Bridge State of Good Repair'!AQ12+'Keith State of Good Repair'!AQ12</f>
        <v>268011.1985980337</v>
      </c>
      <c r="AR12" s="28">
        <f>'VMT Bridge BCA'!AR12+'VMT Holabird BCA'!AR12+'Bridge State of Good Repair'!AR12+'Keith State of Good Repair'!AR12</f>
        <v>16799.379029990756</v>
      </c>
      <c r="AS12" s="28">
        <f>'VMT Bridge BCA'!AS12+'VMT Holabird BCA'!AS12+'Bridge State of Good Repair'!AS12+'Keith State of Good Repair'!AS12</f>
        <v>65395.39105666047</v>
      </c>
      <c r="AT12" s="28">
        <f>'VMT Bridge BCA'!AT12+'VMT Holabird BCA'!AT12+'Bridge State of Good Repair'!AT12+'Keith State of Good Repair'!AT12</f>
        <v>40016.13932020625</v>
      </c>
      <c r="AU12" s="28">
        <f>'VMT Bridge BCA'!AU12+'VMT Holabird BCA'!AU12+'Bridge State of Good Repair'!AU12+'Keith State of Good Repair'!AU12</f>
        <v>354963.4386411426</v>
      </c>
      <c r="AV12" s="28">
        <f>'VMT Bridge BCA'!AV12+'VMT Holabird BCA'!AV12+'Bridge State of Good Repair'!AV12+'Keith State of Good Repair'!AV12</f>
        <v>-42001.198958953944</v>
      </c>
      <c r="AW12" s="28">
        <f>'VMT Bridge BCA'!AW12+'VMT Holabird BCA'!AW12+'Bridge State of Good Repair'!AW12+'Keith State of Good Repair'!AW12</f>
        <v>-32.43690878329478</v>
      </c>
      <c r="AX12" s="28">
        <f>'VMT Bridge BCA'!AX12+'VMT Holabird BCA'!AX12+'Bridge State of Good Repair'!AX12+'Keith State of Good Repair'!AX12</f>
        <v>35814.52891114671</v>
      </c>
      <c r="AY12" s="67">
        <f t="shared" si="1"/>
        <v>0.5820091045650384</v>
      </c>
      <c r="AZ12" s="28">
        <f>'VMT Bridge BCA'!AZ12+'VMT Holabird BCA'!AZ12+'Bridge State of Good Repair'!AZ12+'Keith State of Good Repair'!AZ12</f>
        <v>113078.74843507366</v>
      </c>
      <c r="BA12" s="28">
        <f>'VMT Bridge BCA'!BA12+'VMT Holabird BCA'!BA12+'Bridge State of Good Repair'!BA12+'Keith State of Good Repair'!BA12</f>
        <v>197597.07757283654</v>
      </c>
      <c r="BB12" s="28">
        <f>'VMT Bridge BCA'!BB12+'VMT Holabird BCA'!BB12+'Bridge State of Good Repair'!BB12+'Keith State of Good Repair'!BB12</f>
        <v>12385.707085110293</v>
      </c>
      <c r="BC12" s="28">
        <f>'VMT Bridge BCA'!BC12+'VMT Holabird BCA'!BC12+'Bridge State of Good Repair'!BC12+'Keith State of Good Repair'!BC12</f>
        <v>48214.17249399863</v>
      </c>
      <c r="BD12" s="28">
        <f>'VMT Bridge BCA'!BD12+'VMT Holabird BCA'!BD12+'Bridge State of Good Repair'!BD12+'Keith State of Good Repair'!BD12</f>
        <v>29502.767894707824</v>
      </c>
      <c r="BE12" s="28">
        <f>'VMT Bridge BCA'!BE12+'VMT Holabird BCA'!BE12+'Bridge State of Good Repair'!BE12+'Keith State of Good Repair'!BE12</f>
        <v>261704.50521319843</v>
      </c>
      <c r="BF12" s="28">
        <f>'VMT Bridge BCA'!BF12+'VMT Holabird BCA'!BF12+'Bridge State of Good Repair'!BF12+'Keith State of Good Repair'!BF12</f>
        <v>-30966.296230374955</v>
      </c>
      <c r="BG12" s="28">
        <f>'VMT Bridge BCA'!BG12+'VMT Holabird BCA'!BG12+'Bridge State of Good Repair'!BG12+'Keith State of Good Repair'!BG12</f>
        <v>-23.9148155547361</v>
      </c>
      <c r="BH12" s="28">
        <f>'VMT Bridge BCA'!BH12+'VMT Holabird BCA'!BH12+'Bridge State of Good Repair'!BH12+'Keith State of Good Repair'!BH12</f>
        <v>26405.03935846498</v>
      </c>
      <c r="BI12" s="28">
        <f>'VMT Bridge BCA'!BI12+'VMT Holabird BCA'!BI12+'Bridge State of Good Repair'!BI12+'Keith State of Good Repair'!BI12</f>
        <v>600000</v>
      </c>
      <c r="BJ12" s="28">
        <f>'VMT Bridge BCA'!BJ12+'VMT Holabird BCA'!BJ12+'Bridge State of Good Repair'!BJ12+'Keith State of Good Repair'!BJ12</f>
        <v>473645.54058836144</v>
      </c>
      <c r="BK12" s="28">
        <f>'VMT Bridge BCA'!BK12+'VMT Holabird BCA'!BK12+'Bridge State of Good Repair'!BK12+'Keith State of Good Repair'!BK12</f>
        <v>349205.4627390231</v>
      </c>
      <c r="BL12" s="28">
        <f>'VMT Bridge BCA'!BL12+'VMT Holabird BCA'!BL12+'Bridge State of Good Repair'!BL12+'Keith State of Good Repair'!BL12</f>
        <v>5500</v>
      </c>
      <c r="BM12" s="28">
        <f>'VMT Bridge BCA'!BM12+'VMT Holabird BCA'!BM12+'Bridge State of Good Repair'!BM12+'Keith State of Good Repair'!BM12</f>
        <v>4341.7507887266465</v>
      </c>
      <c r="BN12" s="28">
        <f>'VMT Bridge BCA'!BN12+'VMT Holabird BCA'!BN12+'Bridge State of Good Repair'!BN12+'Keith State of Good Repair'!BN12</f>
        <v>3201.0500751077116</v>
      </c>
      <c r="BO12" s="88">
        <f>'Complete Streets Bio Retention'!$A$21</f>
        <v>15736.62181254302</v>
      </c>
      <c r="BP12" s="97">
        <f t="shared" si="2"/>
        <v>12422.634575727565</v>
      </c>
      <c r="BQ12" s="97">
        <f t="shared" si="3"/>
        <v>9158.857169996814</v>
      </c>
    </row>
    <row r="13" spans="1:69" s="9" customFormat="1" ht="15">
      <c r="A13" s="71">
        <v>2024</v>
      </c>
      <c r="B13" s="98">
        <v>9</v>
      </c>
      <c r="C13" s="220">
        <f>'VMT Bridge BCA'!C13+'VMT Holabird BCA'!C13+'Bridge State of Good Repair'!C13+'Keith State of Good Repair'!C13</f>
        <v>152710</v>
      </c>
      <c r="D13" s="64">
        <f>'VMT Bridge BCA'!D13+'VMT Holabird BCA'!D13+'Bridge State of Good Repair'!D13+'Keith State of Good Repair'!D13</f>
        <v>4676</v>
      </c>
      <c r="E13" s="220">
        <f>'VMT Bridge BCA'!E13+'VMT Holabird BCA'!E13+'Bridge State of Good Repair'!E13+'Keith State of Good Repair'!E13</f>
        <v>1408557.7839115788</v>
      </c>
      <c r="F13" s="241">
        <f>'VMT Bridge BCA'!F13+'VMT Holabird BCA'!F13+'Bridge State of Good Repair'!F13+'Keith State of Good Repair'!F13</f>
        <v>5525.594745263156</v>
      </c>
      <c r="G13" s="9">
        <v>0.56</v>
      </c>
      <c r="H13" s="9">
        <v>0.27</v>
      </c>
      <c r="I13" s="9">
        <v>0.01</v>
      </c>
      <c r="J13" s="9">
        <v>0.06</v>
      </c>
      <c r="K13" s="9">
        <v>0.04</v>
      </c>
      <c r="L13" s="9">
        <v>0.001</v>
      </c>
      <c r="M13" s="9">
        <v>0.11</v>
      </c>
      <c r="N13" s="9">
        <v>0.02</v>
      </c>
      <c r="O13" s="9">
        <v>0.02</v>
      </c>
      <c r="P13" s="9">
        <v>0.0009</v>
      </c>
      <c r="Q13" s="91">
        <f>'VMT Bridge BCA'!Q13+'VMT Holabird BCA'!Q13+'Bridge State of Good Repair'!Q13+'Keith State of Good Repair'!Q13</f>
        <v>202392.21605179008</v>
      </c>
      <c r="R13" s="27">
        <f>'VMT Bridge BCA'!R13+'VMT Holabird BCA'!R13+'Bridge State of Good Repair'!R13+'Keith State of Good Repair'!R13</f>
        <v>7.531751443717585</v>
      </c>
      <c r="S13" s="28">
        <f>'VMT Bridge BCA'!S13+'VMT Holabird BCA'!S13+'Bridge State of Good Repair'!S13+'Keith State of Good Repair'!S13</f>
        <v>202399.7478032338</v>
      </c>
      <c r="T13" s="91">
        <f>'VMT Bridge BCA'!T13+'VMT Holabird BCA'!T13+'Bridge State of Good Repair'!T13+'Keith State of Good Repair'!T13</f>
        <v>353123.9507500517</v>
      </c>
      <c r="U13" s="27">
        <f>'VMT Bridge BCA'!U13+'VMT Holabird BCA'!U13+'Bridge State of Good Repair'!U13+'Keith State of Good Repair'!U13</f>
        <v>579.944861166254</v>
      </c>
      <c r="V13" s="28">
        <f>'VMT Bridge BCA'!V13+'VMT Holabird BCA'!V13+'Bridge State of Good Repair'!V13+'Keith State of Good Repair'!V13</f>
        <v>353703.895611218</v>
      </c>
      <c r="W13" s="91">
        <f>'VMT Bridge BCA'!W13+'VMT Holabird BCA'!W13+'Bridge State of Good Repair'!W13+'Keith State of Good Repair'!W13</f>
        <v>22079.511352827216</v>
      </c>
      <c r="X13" s="27">
        <f>'VMT Bridge BCA'!X13+'VMT Holabird BCA'!X13+'Bridge State of Good Repair'!X13+'Keith State of Good Repair'!X13</f>
        <v>89.62784218023926</v>
      </c>
      <c r="Y13" s="28">
        <f>'VMT Bridge BCA'!Y13+'VMT Holabird BCA'!Y13+'Bridge State of Good Repair'!Y13+'Keith State of Good Repair'!Y13</f>
        <v>22169.139195007454</v>
      </c>
      <c r="Z13" s="91">
        <f>'VMT Bridge BCA'!Z13+'VMT Holabird BCA'!Z13+'Bridge State of Good Repair'!Z13+'Keith State of Good Repair'!Z13</f>
        <v>86206.09215147323</v>
      </c>
      <c r="AA13" s="27">
        <f>'VMT Bridge BCA'!AA13+'VMT Holabird BCA'!AA13+'Bridge State of Good Repair'!AA13+'Keith State of Good Repair'!AA13</f>
        <v>100.17229420144389</v>
      </c>
      <c r="AB13" s="28">
        <f>'VMT Bridge BCA'!AB13+'VMT Holabird BCA'!AB13+'Bridge State of Good Repair'!AB13+'Keith State of Good Repair'!AB13</f>
        <v>86306.26444567468</v>
      </c>
      <c r="AC13" s="91">
        <f>'VMT Bridge BCA'!AC13+'VMT Holabird BCA'!AC13+'Bridge State of Good Repair'!AC13+'Keith State of Good Repair'!AC13</f>
        <v>52806.43138101455</v>
      </c>
      <c r="AD13" s="27">
        <f>'VMT Bridge BCA'!AD13+'VMT Holabird BCA'!AD13+'Bridge State of Good Repair'!AD13+'Keith State of Good Repair'!AD13</f>
        <v>6.7785762993458265</v>
      </c>
      <c r="AE13" s="28">
        <f>'VMT Bridge BCA'!AE13+'VMT Holabird BCA'!AE13+'Bridge State of Good Repair'!AE13+'Keith State of Good Repair'!AE13</f>
        <v>52813.20995731389</v>
      </c>
      <c r="AF13" s="20">
        <f>'VMT Bridge BCA'!AF13+'VMT Holabird BCA'!AF13+'Bridge State of Good Repair'!AF13+'Keith State of Good Repair'!AF13</f>
        <v>227186.73934057722</v>
      </c>
      <c r="AG13" s="20">
        <f>'VMT Bridge BCA'!AG13+'VMT Holabird BCA'!AG13+'Bridge State of Good Repair'!AG13+'Keith State of Good Repair'!AG13</f>
        <v>225.53447939849616</v>
      </c>
      <c r="AH13" s="28">
        <f>'VMT Bridge BCA'!AH13+'VMT Holabird BCA'!AH13+'Bridge State of Good Repair'!AH13+'Keith State of Good Repair'!AH13</f>
        <v>468469.28406915005</v>
      </c>
      <c r="AI13" s="28">
        <f>'VMT Bridge BCA'!AI13+'VMT Holabird BCA'!AI13+'Bridge State of Good Repair'!AI13+'Keith State of Good Repair'!AI13</f>
        <v>-55433.56439910084</v>
      </c>
      <c r="AJ13" s="28">
        <f>'VMT Bridge BCA'!AJ13+'VMT Holabird BCA'!AJ13+'Bridge State of Good Repair'!AJ13+'Keith State of Good Repair'!AJ13</f>
        <v>-41.49834420932329</v>
      </c>
      <c r="AK13" s="20">
        <f>'VMT Bridge BCA'!AK13+'VMT Holabird BCA'!AK13+'Bridge State of Good Repair'!AK13+'Keith State of Good Repair'!AK13</f>
        <v>21214884.384694733</v>
      </c>
      <c r="AL13" s="20">
        <f>'VMT Bridge BCA'!AL13+'VMT Holabird BCA'!AL13+'Bridge State of Good Repair'!AL13+'Keith State of Good Repair'!AL13</f>
        <v>1519.1978707879898</v>
      </c>
      <c r="AM13" s="212">
        <f>'VMT Bridge BCA'!AM13+'VMT Holabird BCA'!AM13</f>
        <v>63.36</v>
      </c>
      <c r="AN13" s="28">
        <f>'VMT Bridge BCA'!AN13+'VMT Holabird BCA'!AN13+'Bridge State of Good Repair'!AN13+'Keith State of Good Repair'!AN13</f>
        <v>48128.18854656351</v>
      </c>
      <c r="AO13" s="67">
        <f t="shared" si="0"/>
        <v>0.766416732343627</v>
      </c>
      <c r="AP13" s="28">
        <f>'VMT Bridge BCA'!AP13+'VMT Holabird BCA'!AP13+'Bridge State of Good Repair'!AP13+'Keith State of Good Repair'!AP13</f>
        <v>155122.5533385286</v>
      </c>
      <c r="AQ13" s="28">
        <f>'VMT Bridge BCA'!AQ13+'VMT Holabird BCA'!AQ13+'Bridge State of Good Repair'!AQ13+'Keith State of Good Repair'!AQ13</f>
        <v>271084.583891561</v>
      </c>
      <c r="AR13" s="28">
        <f>'VMT Bridge BCA'!AR13+'VMT Holabird BCA'!AR13+'Bridge State of Good Repair'!AR13+'Keith State of Good Repair'!AR13</f>
        <v>16990.79922070864</v>
      </c>
      <c r="AS13" s="28">
        <f>'VMT Bridge BCA'!AS13+'VMT Holabird BCA'!AS13+'Bridge State of Good Repair'!AS13+'Keith State of Good Repair'!AS13</f>
        <v>66146.56517723892</v>
      </c>
      <c r="AT13" s="28">
        <f>'VMT Bridge BCA'!AT13+'VMT Holabird BCA'!AT13+'Bridge State of Good Repair'!AT13+'Keith State of Good Repair'!AT13</f>
        <v>40476.92780006241</v>
      </c>
      <c r="AU13" s="28">
        <f>'VMT Bridge BCA'!AU13+'VMT Holabird BCA'!AU13+'Bridge State of Good Repair'!AU13+'Keith State of Good Repair'!AU13</f>
        <v>359042.69789963635</v>
      </c>
      <c r="AV13" s="28">
        <f>'VMT Bridge BCA'!AV13+'VMT Holabird BCA'!AV13+'Bridge State of Good Repair'!AV13+'Keith State of Good Repair'!AV13</f>
        <v>-42485.21128891888</v>
      </c>
      <c r="AW13" s="28">
        <f>'VMT Bridge BCA'!AW13+'VMT Holabird BCA'!AW13+'Bridge State of Good Repair'!AW13+'Keith State of Good Repair'!AW13</f>
        <v>-31.80502536658063</v>
      </c>
      <c r="AX13" s="28">
        <f>'VMT Bridge BCA'!AX13+'VMT Holabird BCA'!AX13+'Bridge State of Good Repair'!AX13+'Keith State of Good Repair'!AX13</f>
        <v>36886.24899947518</v>
      </c>
      <c r="AY13" s="67">
        <f t="shared" si="1"/>
        <v>0.5439337425841481</v>
      </c>
      <c r="AZ13" s="28">
        <f>'VMT Bridge BCA'!AZ13+'VMT Holabird BCA'!AZ13+'Bridge State of Good Repair'!AZ13+'Keith State of Good Repair'!AZ13</f>
        <v>110092.05232070065</v>
      </c>
      <c r="BA13" s="28">
        <f>'VMT Bridge BCA'!BA13+'VMT Holabird BCA'!BA13+'Bridge State of Good Repair'!BA13+'Keith State of Good Repair'!BA13</f>
        <v>192391.48370640262</v>
      </c>
      <c r="BB13" s="28">
        <f>'VMT Bridge BCA'!BB13+'VMT Holabird BCA'!BB13+'Bridge State of Good Repair'!BB13+'Keith State of Good Repair'!BB13</f>
        <v>12058.542852209332</v>
      </c>
      <c r="BC13" s="28">
        <f>'VMT Bridge BCA'!BC13+'VMT Holabird BCA'!BC13+'Bridge State of Good Repair'!BC13+'Keith State of Good Repair'!BC13</f>
        <v>46944.88942839302</v>
      </c>
      <c r="BD13" s="28">
        <f>'VMT Bridge BCA'!BD13+'VMT Holabird BCA'!BD13+'Bridge State of Good Repair'!BD13+'Keith State of Good Repair'!BD13</f>
        <v>28726.886949964137</v>
      </c>
      <c r="BE13" s="28">
        <f>'VMT Bridge BCA'!BE13+'VMT Holabird BCA'!BE13+'Bridge State of Good Repair'!BE13+'Keith State of Good Repair'!BE13</f>
        <v>254816.25096944917</v>
      </c>
      <c r="BF13" s="28">
        <f>'VMT Bridge BCA'!BF13+'VMT Holabird BCA'!BF13+'Bridge State of Good Repair'!BF13+'Keith State of Good Repair'!BF13</f>
        <v>-30152.186148382312</v>
      </c>
      <c r="BG13" s="28">
        <f>'VMT Bridge BCA'!BG13+'VMT Holabird BCA'!BG13+'Bridge State of Good Repair'!BG13+'Keith State of Good Repair'!BG13</f>
        <v>-22.572349676822427</v>
      </c>
      <c r="BH13" s="28">
        <f>'VMT Bridge BCA'!BH13+'VMT Holabird BCA'!BH13+'Bridge State of Good Repair'!BH13+'Keith State of Good Repair'!BH13</f>
        <v>26178.54571992782</v>
      </c>
      <c r="BI13" s="28">
        <f>'VMT Bridge BCA'!BI13+'VMT Holabird BCA'!BI13+'Bridge State of Good Repair'!BI13+'Keith State of Good Repair'!BI13</f>
        <v>600000</v>
      </c>
      <c r="BJ13" s="28">
        <f>'VMT Bridge BCA'!BJ13+'VMT Holabird BCA'!BJ13+'Bridge State of Good Repair'!BJ13+'Keith State of Good Repair'!BJ13</f>
        <v>459850.03940617613</v>
      </c>
      <c r="BK13" s="28">
        <f>'VMT Bridge BCA'!BK13+'VMT Holabird BCA'!BK13+'Bridge State of Good Repair'!BK13+'Keith State of Good Repair'!BK13</f>
        <v>326360.2455504888</v>
      </c>
      <c r="BL13" s="28">
        <f>'VMT Bridge BCA'!BL13+'VMT Holabird BCA'!BL13+'Bridge State of Good Repair'!BL13+'Keith State of Good Repair'!BL13</f>
        <v>5500</v>
      </c>
      <c r="BM13" s="28">
        <f>'VMT Bridge BCA'!BM13+'VMT Holabird BCA'!BM13+'Bridge State of Good Repair'!BM13+'Keith State of Good Repair'!BM13</f>
        <v>4215.292027889948</v>
      </c>
      <c r="BN13" s="28">
        <f>'VMT Bridge BCA'!BN13+'VMT Holabird BCA'!BN13+'Bridge State of Good Repair'!BN13+'Keith State of Good Repair'!BN13</f>
        <v>2991.635584212814</v>
      </c>
      <c r="BO13" s="88">
        <f>'Complete Streets Bio Retention'!$A$21</f>
        <v>15736.62181254302</v>
      </c>
      <c r="BP13" s="97">
        <f t="shared" si="2"/>
        <v>12060.810267696666</v>
      </c>
      <c r="BQ13" s="97">
        <f t="shared" si="3"/>
        <v>8559.679598127865</v>
      </c>
    </row>
    <row r="14" spans="1:69" s="9" customFormat="1" ht="15">
      <c r="A14" s="72">
        <v>2025</v>
      </c>
      <c r="B14" s="99">
        <v>10</v>
      </c>
      <c r="C14" s="220">
        <f>'VMT Bridge BCA'!C14+'VMT Holabird BCA'!C14+'Bridge State of Good Repair'!C14+'Keith State of Good Repair'!C14</f>
        <v>573084</v>
      </c>
      <c r="D14" s="64">
        <f>'VMT Bridge BCA'!D14+'VMT Holabird BCA'!D14+'Bridge State of Good Repair'!D14+'Keith State of Good Repair'!D14</f>
        <v>4722</v>
      </c>
      <c r="E14" s="220">
        <f>'VMT Bridge BCA'!E14+'VMT Holabird BCA'!E14+'Bridge State of Good Repair'!E14+'Keith State of Good Repair'!E14</f>
        <v>5774467.3109936835</v>
      </c>
      <c r="F14" s="241">
        <f>'VMT Bridge BCA'!F14+'VMT Holabird BCA'!F14+'Bridge State of Good Repair'!F14+'Keith State of Good Repair'!F14</f>
        <v>5579.952606315788</v>
      </c>
      <c r="G14" s="9">
        <v>0.56</v>
      </c>
      <c r="H14" s="9">
        <v>0.27</v>
      </c>
      <c r="I14" s="9">
        <v>0.01</v>
      </c>
      <c r="J14" s="9">
        <v>0.06</v>
      </c>
      <c r="K14" s="9">
        <v>0.04</v>
      </c>
      <c r="L14" s="9">
        <v>0.001</v>
      </c>
      <c r="M14" s="9">
        <v>0.11</v>
      </c>
      <c r="N14" s="9">
        <v>0.02</v>
      </c>
      <c r="O14" s="9">
        <v>0.02</v>
      </c>
      <c r="P14" s="9">
        <v>0.0009</v>
      </c>
      <c r="Q14" s="91">
        <f>'VMT Bridge BCA'!Q14+'VMT Holabird BCA'!Q14+'Bridge State of Good Repair'!Q14+'Keith State of Good Repair'!Q14</f>
        <v>827257.5409834364</v>
      </c>
      <c r="R14" s="27">
        <f>'VMT Bridge BCA'!R14+'VMT Holabird BCA'!R14+'Bridge State of Good Repair'!R14+'Keith State of Good Repair'!R14</f>
        <v>7.605844806936365</v>
      </c>
      <c r="S14" s="28">
        <f>'VMT Bridge BCA'!S14+'VMT Holabird BCA'!S14+'Bridge State of Good Repair'!S14+'Keith State of Good Repair'!S14</f>
        <v>827265.1468282433</v>
      </c>
      <c r="T14" s="91">
        <f>'VMT Bridge BCA'!T14+'VMT Holabird BCA'!T14+'Bridge State of Good Repair'!T14+'Keith State of Good Repair'!T14</f>
        <v>1447517.6428302464</v>
      </c>
      <c r="U14" s="27">
        <f>'VMT Bridge BCA'!U14+'VMT Holabird BCA'!U14+'Bridge State of Good Repair'!U14+'Keith State of Good Repair'!U14</f>
        <v>585.6500501341</v>
      </c>
      <c r="V14" s="28">
        <f>'VMT Bridge BCA'!V14+'VMT Holabird BCA'!V14+'Bridge State of Good Repair'!V14+'Keith State of Good Repair'!V14</f>
        <v>1448103.2928803805</v>
      </c>
      <c r="W14" s="91">
        <f>'VMT Bridge BCA'!W14+'VMT Holabird BCA'!W14+'Bridge State of Good Repair'!W14+'Keith State of Good Repair'!W14</f>
        <v>90516.28410696302</v>
      </c>
      <c r="X14" s="27">
        <f>'VMT Bridge BCA'!X14+'VMT Holabird BCA'!X14+'Bridge State of Good Repair'!X14+'Keith State of Good Repair'!X14</f>
        <v>90.50955320254272</v>
      </c>
      <c r="Y14" s="28">
        <f>'VMT Bridge BCA'!Y14+'VMT Holabird BCA'!Y14+'Bridge State of Good Repair'!Y14+'Keith State of Good Repair'!Y14</f>
        <v>90606.79366016557</v>
      </c>
      <c r="Z14" s="91">
        <f>'VMT Bridge BCA'!Z14+'VMT Holabird BCA'!Z14+'Bridge State of Good Repair'!Z14+'Keith State of Good Repair'!Z14</f>
        <v>353407.0570784904</v>
      </c>
      <c r="AA14" s="27">
        <f>'VMT Bridge BCA'!AA14+'VMT Holabird BCA'!AA14+'Bridge State of Good Repair'!AA14+'Keith State of Good Repair'!AA14</f>
        <v>101.15773593225364</v>
      </c>
      <c r="AB14" s="28">
        <f>'VMT Bridge BCA'!AB14+'VMT Holabird BCA'!AB14+'Bridge State of Good Repair'!AB14+'Keith State of Good Repair'!AB14</f>
        <v>353508.21481442265</v>
      </c>
      <c r="AC14" s="91">
        <f>'VMT Bridge BCA'!AC14+'VMT Holabird BCA'!AC14+'Bridge State of Good Repair'!AC14+'Keith State of Good Repair'!AC14</f>
        <v>216459.6583568187</v>
      </c>
      <c r="AD14" s="27">
        <f>'VMT Bridge BCA'!AD14+'VMT Holabird BCA'!AD14+'Bridge State of Good Repair'!AD14+'Keith State of Good Repair'!AD14</f>
        <v>6.845260326242728</v>
      </c>
      <c r="AE14" s="28">
        <f>'VMT Bridge BCA'!AE14+'VMT Holabird BCA'!AE14+'Bridge State of Good Repair'!AE14+'Keith State of Good Repair'!AE14</f>
        <v>216466.50361714495</v>
      </c>
      <c r="AF14" s="20">
        <f>'VMT Bridge BCA'!AF14+'VMT Holabird BCA'!AF14+'Bridge State of Good Repair'!AF14+'Keith State of Good Repair'!AF14</f>
        <v>931365.6953215619</v>
      </c>
      <c r="AG14" s="20">
        <f>'VMT Bridge BCA'!AG14+'VMT Holabird BCA'!AG14+'Bridge State of Good Repair'!AG14+'Keith State of Good Repair'!AG14</f>
        <v>227.75316760472606</v>
      </c>
      <c r="AH14" s="28">
        <f>'VMT Bridge BCA'!AH14+'VMT Holabird BCA'!AH14+'Bridge State of Good Repair'!AH14+'Keith State of Good Repair'!AH14</f>
        <v>1919082.5038876834</v>
      </c>
      <c r="AI14" s="28">
        <f>'VMT Bridge BCA'!AI14+'VMT Holabird BCA'!AI14+'Bridge State of Good Repair'!AI14+'Keith State of Good Repair'!AI14</f>
        <v>-227253.2296584611</v>
      </c>
      <c r="AJ14" s="28">
        <f>'VMT Bridge BCA'!AJ14+'VMT Holabird BCA'!AJ14+'Bridge State of Good Repair'!AJ14+'Keith State of Good Repair'!AJ14</f>
        <v>-41.906582839269596</v>
      </c>
      <c r="AK14" s="20">
        <f>'VMT Bridge BCA'!AK14+'VMT Holabird BCA'!AK14+'Bridge State of Good Repair'!AK14+'Keith State of Good Repair'!AK14</f>
        <v>86704378.10962105</v>
      </c>
      <c r="AL14" s="20">
        <f>'VMT Bridge BCA'!AL14+'VMT Holabird BCA'!AL14+'Bridge State of Good Repair'!AL14+'Keith State of Good Repair'!AL14</f>
        <v>6208.900516429963</v>
      </c>
      <c r="AM14" s="212">
        <f>'VMT Bridge BCA'!AM14+'VMT Holabird BCA'!AM14</f>
        <v>64.5</v>
      </c>
      <c r="AN14" s="28">
        <f>'VMT Bridge BCA'!AN14+'VMT Holabird BCA'!AN14+'Bridge State of Good Repair'!AN14+'Keith State of Good Repair'!AN14</f>
        <v>200237.0416548663</v>
      </c>
      <c r="AO14" s="67">
        <f t="shared" si="0"/>
        <v>0.7440939148967252</v>
      </c>
      <c r="AP14" s="28">
        <f>'VMT Bridge BCA'!AP14+'VMT Holabird BCA'!AP14+'Bridge State of Good Repair'!AP14+'Keith State of Good Repair'!AP14</f>
        <v>615562.9617610418</v>
      </c>
      <c r="AQ14" s="28">
        <f>'VMT Bridge BCA'!AQ14+'VMT Holabird BCA'!AQ14+'Bridge State of Good Repair'!AQ14+'Keith State of Good Repair'!AQ14</f>
        <v>1077524.8483742012</v>
      </c>
      <c r="AR14" s="28">
        <f>'VMT Bridge BCA'!AR14+'VMT Holabird BCA'!AR14+'Bridge State of Good Repair'!AR14+'Keith State of Good Repair'!AR14</f>
        <v>67419.96381083237</v>
      </c>
      <c r="AS14" s="28">
        <f>'VMT Bridge BCA'!AS14+'VMT Holabird BCA'!AS14+'Bridge State of Good Repair'!AS14+'Keith State of Good Repair'!AS14</f>
        <v>263043.31150941626</v>
      </c>
      <c r="AT14" s="28">
        <f>'VMT Bridge BCA'!AT14+'VMT Holabird BCA'!AT14+'Bridge State of Good Repair'!AT14+'Keith State of Good Repair'!AT14</f>
        <v>161071.4081204875</v>
      </c>
      <c r="AU14" s="28">
        <f>'VMT Bridge BCA'!AU14+'VMT Holabird BCA'!AU14+'Bridge State of Good Repair'!AU14+'Keith State of Good Repair'!AU14</f>
        <v>1427977.613327596</v>
      </c>
      <c r="AV14" s="28">
        <f>'VMT Bridge BCA'!AV14+'VMT Holabird BCA'!AV14+'Bridge State of Good Repair'!AV14+'Keith State of Good Repair'!AV14</f>
        <v>-169097.74532948885</v>
      </c>
      <c r="AW14" s="28">
        <f>'VMT Bridge BCA'!AW14+'VMT Holabird BCA'!AW14+'Bridge State of Good Repair'!AW14+'Keith State of Good Repair'!AW14</f>
        <v>-31.182433284816035</v>
      </c>
      <c r="AX14" s="28">
        <f>'VMT Bridge BCA'!AX14+'VMT Holabird BCA'!AX14+'Bridge State of Good Repair'!AX14+'Keith State of Good Repair'!AX14</f>
        <v>148995.1642323081</v>
      </c>
      <c r="AY14" s="67">
        <f t="shared" si="1"/>
        <v>0.5083492921347178</v>
      </c>
      <c r="AZ14" s="28">
        <f>'VMT Bridge BCA'!AZ14+'VMT Holabird BCA'!AZ14+'Bridge State of Good Repair'!AZ14+'Keith State of Good Repair'!AZ14</f>
        <v>420539.65179786086</v>
      </c>
      <c r="BA14" s="28">
        <f>'VMT Bridge BCA'!BA14+'VMT Holabird BCA'!BA14+'Bridge State of Good Repair'!BA14+'Keith State of Good Repair'!BA14</f>
        <v>736142.2838736953</v>
      </c>
      <c r="BB14" s="28">
        <f>'VMT Bridge BCA'!BB14+'VMT Holabird BCA'!BB14+'Bridge State of Good Repair'!BB14+'Keith State of Good Repair'!BB14</f>
        <v>46059.8994197416</v>
      </c>
      <c r="BC14" s="28">
        <f>'VMT Bridge BCA'!BC14+'VMT Holabird BCA'!BC14+'Bridge State of Good Repair'!BC14+'Keith State of Good Repair'!BC14</f>
        <v>179705.65076471952</v>
      </c>
      <c r="BD14" s="28">
        <f>'VMT Bridge BCA'!BD14+'VMT Holabird BCA'!BD14+'Bridge State of Good Repair'!BD14+'Keith State of Good Repair'!BD14</f>
        <v>110040.59388465296</v>
      </c>
      <c r="BE14" s="28">
        <f>'VMT Bridge BCA'!BE14+'VMT Holabird BCA'!BE14+'Bridge State of Good Repair'!BE14+'Keith State of Good Repair'!BE14</f>
        <v>975564.2323994256</v>
      </c>
      <c r="BF14" s="28">
        <f>'VMT Bridge BCA'!BF14+'VMT Holabird BCA'!BF14+'Bridge State of Good Repair'!BF14+'Keith State of Good Repair'!BF14</f>
        <v>-115524.01843220714</v>
      </c>
      <c r="BG14" s="28">
        <f>'VMT Bridge BCA'!BG14+'VMT Holabird BCA'!BG14+'Bridge State of Good Repair'!BG14+'Keith State of Good Repair'!BG14</f>
        <v>-21.30318172212761</v>
      </c>
      <c r="BH14" s="28">
        <f>'VMT Bridge BCA'!BH14+'VMT Holabird BCA'!BH14+'Bridge State of Good Repair'!BH14+'Keith State of Good Repair'!BH14</f>
        <v>101790.35838440129</v>
      </c>
      <c r="BI14" s="28">
        <f>'VMT Bridge BCA'!BI14+'VMT Holabird BCA'!BI14+'Bridge State of Good Repair'!BI14+'Keith State of Good Repair'!BI14</f>
        <v>100000</v>
      </c>
      <c r="BJ14" s="28">
        <f>'VMT Bridge BCA'!BJ14+'VMT Holabird BCA'!BJ14+'Bridge State of Good Repair'!BJ14+'Keith State of Good Repair'!BJ14</f>
        <v>74409.39148967252</v>
      </c>
      <c r="BK14" s="28">
        <f>'VMT Bridge BCA'!BK14+'VMT Holabird BCA'!BK14+'Bridge State of Good Repair'!BK14+'Keith State of Good Repair'!BK14</f>
        <v>50834.92921347178</v>
      </c>
      <c r="BL14" s="28">
        <f>'VMT Bridge BCA'!BL14+'VMT Holabird BCA'!BL14+'Bridge State of Good Repair'!BL14+'Keith State of Good Repair'!BL14</f>
        <v>6000</v>
      </c>
      <c r="BM14" s="28">
        <f>'VMT Bridge BCA'!BM14+'VMT Holabird BCA'!BM14+'Bridge State of Good Repair'!BM14+'Keith State of Good Repair'!BM14</f>
        <v>4464.563489380351</v>
      </c>
      <c r="BN14" s="28">
        <f>'VMT Bridge BCA'!BN14+'VMT Holabird BCA'!BN14+'Bridge State of Good Repair'!BN14+'Keith State of Good Repair'!BN14</f>
        <v>3050.0957528083068</v>
      </c>
      <c r="BO14" s="88">
        <f>'Complete Streets Bio Retention'!$A$21</f>
        <v>15736.62181254302</v>
      </c>
      <c r="BP14" s="97">
        <f t="shared" si="2"/>
        <v>11709.524531744335</v>
      </c>
      <c r="BQ14" s="97">
        <f t="shared" si="3"/>
        <v>7999.700558998004</v>
      </c>
    </row>
    <row r="15" spans="1:69" s="9" customFormat="1" ht="15">
      <c r="A15" s="71">
        <v>2026</v>
      </c>
      <c r="B15" s="99">
        <v>11</v>
      </c>
      <c r="C15" s="220">
        <f>'VMT Bridge BCA'!C15+'VMT Holabird BCA'!C15+'Bridge State of Good Repair'!C15+'Keith State of Good Repair'!C15</f>
        <v>578814</v>
      </c>
      <c r="D15" s="64">
        <f>'VMT Bridge BCA'!D15+'VMT Holabird BCA'!D15+'Bridge State of Good Repair'!D15+'Keith State of Good Repair'!D15</f>
        <v>4771</v>
      </c>
      <c r="E15" s="220">
        <f>'VMT Bridge BCA'!E15+'VMT Holabird BCA'!E15+'Bridge State of Good Repair'!E15+'Keith State of Good Repair'!E15</f>
        <v>5832205.60976842</v>
      </c>
      <c r="F15" s="241">
        <f>'VMT Bridge BCA'!F15+'VMT Holabird BCA'!F15+'Bridge State of Good Repair'!F15+'Keith State of Good Repair'!F15</f>
        <v>5637.855545263156</v>
      </c>
      <c r="G15" s="9">
        <v>0.56</v>
      </c>
      <c r="H15" s="9">
        <v>0.27</v>
      </c>
      <c r="I15" s="9">
        <v>0.01</v>
      </c>
      <c r="J15" s="9">
        <v>0.06</v>
      </c>
      <c r="K15" s="9">
        <v>0.04</v>
      </c>
      <c r="L15" s="9">
        <v>0.001</v>
      </c>
      <c r="M15" s="9">
        <v>0.11</v>
      </c>
      <c r="N15" s="9">
        <v>0.02</v>
      </c>
      <c r="O15" s="9">
        <v>0.02</v>
      </c>
      <c r="P15" s="9">
        <v>0.0009</v>
      </c>
      <c r="Q15" s="91">
        <f>'VMT Bridge BCA'!Q15+'VMT Holabird BCA'!Q15+'Bridge State of Good Repair'!Q15+'Keith State of Good Repair'!Q15</f>
        <v>835529.4831924569</v>
      </c>
      <c r="R15" s="27">
        <f>'VMT Bridge BCA'!R15+'VMT Holabird BCA'!R15+'Bridge State of Good Repair'!R15+'Keith State of Good Repair'!R15</f>
        <v>7.684770346017237</v>
      </c>
      <c r="S15" s="28">
        <f>'VMT Bridge BCA'!S15+'VMT Holabird BCA'!S15+'Bridge State of Good Repair'!S15+'Keith State of Good Repair'!S15</f>
        <v>835537.1679628029</v>
      </c>
      <c r="T15" s="91">
        <f>'VMT Bridge BCA'!T15+'VMT Holabird BCA'!T15+'Bridge State of Good Repair'!T15+'Keith State of Good Repair'!T15</f>
        <v>1461991.2367499862</v>
      </c>
      <c r="U15" s="27">
        <f>'VMT Bridge BCA'!U15+'VMT Holabird BCA'!U15+'Bridge State of Good Repair'!U15+'Keith State of Good Repair'!U15</f>
        <v>591.7273166433272</v>
      </c>
      <c r="V15" s="28">
        <f>'VMT Bridge BCA'!V15+'VMT Holabird BCA'!V15+'Bridge State of Good Repair'!V15+'Keith State of Good Repair'!V15</f>
        <v>1462582.9640666295</v>
      </c>
      <c r="W15" s="91">
        <f>'VMT Bridge BCA'!W15+'VMT Holabird BCA'!W15+'Bridge State of Good Repair'!W15+'Keith State of Good Repair'!W15</f>
        <v>91421.34702866261</v>
      </c>
      <c r="X15" s="27">
        <f>'VMT Bridge BCA'!X15+'VMT Holabird BCA'!X15+'Bridge State of Good Repair'!X15+'Keith State of Good Repair'!X15</f>
        <v>91.4487671176051</v>
      </c>
      <c r="Y15" s="28">
        <f>'VMT Bridge BCA'!Y15+'VMT Holabird BCA'!Y15+'Bridge State of Good Repair'!Y15+'Keith State of Good Repair'!Y15</f>
        <v>91512.79579578021</v>
      </c>
      <c r="Z15" s="91">
        <f>'VMT Bridge BCA'!Z15+'VMT Holabird BCA'!Z15+'Bridge State of Good Repair'!Z15+'Keith State of Good Repair'!Z15</f>
        <v>356940.73752930015</v>
      </c>
      <c r="AA15" s="27">
        <f>'VMT Bridge BCA'!AA15+'VMT Holabird BCA'!AA15+'Bridge State of Good Repair'!AA15+'Keith State of Good Repair'!AA15</f>
        <v>102.20744560202925</v>
      </c>
      <c r="AB15" s="28">
        <f>'VMT Bridge BCA'!AB15+'VMT Holabird BCA'!AB15+'Bridge State of Good Repair'!AB15+'Keith State of Good Repair'!AB15</f>
        <v>357042.94497490214</v>
      </c>
      <c r="AC15" s="91">
        <f>'VMT Bridge BCA'!AC15+'VMT Holabird BCA'!AC15+'Bridge State of Good Repair'!AC15+'Keith State of Good Repair'!AC15</f>
        <v>218624.01866529178</v>
      </c>
      <c r="AD15" s="27">
        <f>'VMT Bridge BCA'!AD15+'VMT Holabird BCA'!AD15+'Bridge State of Good Repair'!AD15+'Keith State of Good Repair'!AD15</f>
        <v>6.916293311415513</v>
      </c>
      <c r="AE15" s="28">
        <f>'VMT Bridge BCA'!AE15+'VMT Holabird BCA'!AE15+'Bridge State of Good Repair'!AE15+'Keith State of Good Repair'!AE15</f>
        <v>218630.9349586032</v>
      </c>
      <c r="AF15" s="20">
        <f>'VMT Bridge BCA'!AF15+'VMT Holabird BCA'!AF15+'Bridge State of Good Repair'!AF15+'Keith State of Good Repair'!AF15</f>
        <v>940678.3241561968</v>
      </c>
      <c r="AG15" s="20">
        <f>'VMT Bridge BCA'!AG15+'VMT Holabird BCA'!AG15+'Bridge State of Good Repair'!AG15+'Keith State of Good Repair'!AG15</f>
        <v>230.11655286788394</v>
      </c>
      <c r="AH15" s="28">
        <f>'VMT Bridge BCA'!AH15+'VMT Holabird BCA'!AH15+'Bridge State of Good Repair'!AH15+'Keith State of Good Repair'!AH15</f>
        <v>1938271.3878606732</v>
      </c>
      <c r="AI15" s="28">
        <f>'VMT Bridge BCA'!AI15+'VMT Holabird BCA'!AI15+'Bridge State of Good Repair'!AI15+'Keith State of Good Repair'!AI15</f>
        <v>-229525.51109411204</v>
      </c>
      <c r="AJ15" s="28">
        <f>'VMT Bridge BCA'!AJ15+'VMT Holabird BCA'!AJ15+'Bridge State of Good Repair'!AJ15+'Keith State of Good Repair'!AJ15</f>
        <v>-42.34144572769065</v>
      </c>
      <c r="AK15" s="20">
        <f>'VMT Bridge BCA'!AK15+'VMT Holabird BCA'!AK15+'Bridge State of Good Repair'!AK15+'Keith State of Good Repair'!AK15</f>
        <v>87571356.58610524</v>
      </c>
      <c r="AL15" s="20">
        <f>'VMT Bridge BCA'!AL15+'VMT Holabird BCA'!AL15+'Bridge State of Good Repair'!AL15+'Keith State of Good Repair'!AL15</f>
        <v>6270.984845130996</v>
      </c>
      <c r="AM15" s="212">
        <f>'VMT Bridge BCA'!AM15+'VMT Holabird BCA'!AM15</f>
        <v>65.64</v>
      </c>
      <c r="AN15" s="28">
        <f>'VMT Bridge BCA'!AN15+'VMT Holabird BCA'!AN15+'Bridge State of Good Repair'!AN15+'Keith State of Good Repair'!AN15</f>
        <v>205813.72261719932</v>
      </c>
      <c r="AO15" s="67">
        <f t="shared" si="0"/>
        <v>0.7224212765987623</v>
      </c>
      <c r="AP15" s="28">
        <f>'VMT Bridge BCA'!AP15+'VMT Holabird BCA'!AP15+'Bridge State of Good Repair'!AP15+'Keith State of Good Repair'!AP15</f>
        <v>603609.8275254027</v>
      </c>
      <c r="AQ15" s="28">
        <f>'VMT Bridge BCA'!AQ15+'VMT Holabird BCA'!AQ15+'Bridge State of Good Repair'!AQ15+'Keith State of Good Repair'!AQ15</f>
        <v>1056601.0520326162</v>
      </c>
      <c r="AR15" s="28">
        <f>'VMT Bridge BCA'!AR15+'VMT Holabird BCA'!AR15+'Bridge State of Good Repair'!AR15+'Keith State of Good Repair'!AR15</f>
        <v>66110.7907639094</v>
      </c>
      <c r="AS15" s="28">
        <f>'VMT Bridge BCA'!AS15+'VMT Holabird BCA'!AS15+'Bridge State of Good Repair'!AS15+'Keith State of Good Repair'!AS15</f>
        <v>257935.42010935047</v>
      </c>
      <c r="AT15" s="28">
        <f>'VMT Bridge BCA'!AT15+'VMT Holabird BCA'!AT15+'Bridge State of Good Repair'!AT15+'Keith State of Good Repair'!AT15</f>
        <v>157943.6391367751</v>
      </c>
      <c r="AU15" s="28">
        <f>'VMT Bridge BCA'!AU15+'VMT Holabird BCA'!AU15+'Bridge State of Good Repair'!AU15+'Keith State of Good Repair'!AU15</f>
        <v>1400248.4904131624</v>
      </c>
      <c r="AV15" s="28">
        <f>'VMT Bridge BCA'!AV15+'VMT Holabird BCA'!AV15+'Bridge State of Good Repair'!AV15+'Keith State of Good Repair'!AV15</f>
        <v>-165814.11273659178</v>
      </c>
      <c r="AW15" s="28">
        <f>'VMT Bridge BCA'!AW15+'VMT Holabird BCA'!AW15+'Bridge State of Good Repair'!AW15+'Keith State of Good Repair'!AW15</f>
        <v>-30.58836127563549</v>
      </c>
      <c r="AX15" s="28">
        <f>'VMT Bridge BCA'!AX15+'VMT Holabird BCA'!AX15+'Bridge State of Good Repair'!AX15+'Keith State of Good Repair'!AX15</f>
        <v>148684.2122346607</v>
      </c>
      <c r="AY15" s="67">
        <f t="shared" si="1"/>
        <v>0.47509279638758667</v>
      </c>
      <c r="AZ15" s="28">
        <f>'VMT Bridge BCA'!AZ15+'VMT Holabird BCA'!AZ15+'Bridge State of Good Repair'!AZ15+'Keith State of Good Repair'!AZ15</f>
        <v>396957.6896132127</v>
      </c>
      <c r="BA15" s="28">
        <f>'VMT Bridge BCA'!BA15+'VMT Holabird BCA'!BA15+'Bridge State of Good Repair'!BA15+'Keith State of Good Repair'!BA15</f>
        <v>694862.6303472602</v>
      </c>
      <c r="BB15" s="28">
        <f>'VMT Bridge BCA'!BB15+'VMT Holabird BCA'!BB15+'Bridge State of Good Repair'!BB15+'Keith State of Good Repair'!BB15</f>
        <v>43477.07005986341</v>
      </c>
      <c r="BC15" s="28">
        <f>'VMT Bridge BCA'!BC15+'VMT Holabird BCA'!BC15+'Bridge State of Good Repair'!BC15+'Keith State of Good Repair'!BC15</f>
        <v>169628.5311585855</v>
      </c>
      <c r="BD15" s="28">
        <f>'VMT Bridge BCA'!BD15+'VMT Holabird BCA'!BD15+'Bridge State of Good Repair'!BD15+'Keith State of Good Repair'!BD15</f>
        <v>103869.98226631538</v>
      </c>
      <c r="BE15" s="28">
        <f>'VMT Bridge BCA'!BE15+'VMT Holabird BCA'!BE15+'Bridge State of Good Repair'!BE15+'Keith State of Good Repair'!BE15</f>
        <v>920858.7738167759</v>
      </c>
      <c r="BF15" s="28">
        <f>'VMT Bridge BCA'!BF15+'VMT Holabird BCA'!BF15+'Bridge State of Good Repair'!BF15+'Keith State of Good Repair'!BF15</f>
        <v>-109045.91690799172</v>
      </c>
      <c r="BG15" s="28">
        <f>'VMT Bridge BCA'!BG15+'VMT Holabird BCA'!BG15+'Bridge State of Good Repair'!BG15+'Keith State of Good Repair'!BG15</f>
        <v>-20.116115853861785</v>
      </c>
      <c r="BH15" s="28">
        <f>'VMT Bridge BCA'!BH15+'VMT Holabird BCA'!BH15+'Bridge State of Good Repair'!BH15+'Keith State of Good Repair'!BH15</f>
        <v>97780.6170131443</v>
      </c>
      <c r="BI15" s="28">
        <f>'VMT Bridge BCA'!BI15+'VMT Holabird BCA'!BI15+'Bridge State of Good Repair'!BI15+'Keith State of Good Repair'!BI15</f>
        <v>100000</v>
      </c>
      <c r="BJ15" s="28">
        <f>'VMT Bridge BCA'!BJ15+'VMT Holabird BCA'!BJ15+'Bridge State of Good Repair'!BJ15+'Keith State of Good Repair'!BJ15</f>
        <v>72242.12765987623</v>
      </c>
      <c r="BK15" s="28">
        <f>'VMT Bridge BCA'!BK15+'VMT Holabird BCA'!BK15+'Bridge State of Good Repair'!BK15+'Keith State of Good Repair'!BK15</f>
        <v>47509.279638758664</v>
      </c>
      <c r="BL15" s="28">
        <f>'VMT Bridge BCA'!BL15+'VMT Holabird BCA'!BL15+'Bridge State of Good Repair'!BL15+'Keith State of Good Repair'!BL15</f>
        <v>6000</v>
      </c>
      <c r="BM15" s="28">
        <f>'VMT Bridge BCA'!BM15+'VMT Holabird BCA'!BM15+'Bridge State of Good Repair'!BM15+'Keith State of Good Repair'!BM15</f>
        <v>4334.527659592574</v>
      </c>
      <c r="BN15" s="28">
        <f>'VMT Bridge BCA'!BN15+'VMT Holabird BCA'!BN15+'Bridge State of Good Repair'!BN15+'Keith State of Good Repair'!BN15</f>
        <v>2850.55677832552</v>
      </c>
      <c r="BO15" s="88">
        <f>'Complete Streets Bio Retention'!$A$21</f>
        <v>15736.62181254302</v>
      </c>
      <c r="BP15" s="97">
        <f t="shared" si="2"/>
        <v>11368.470419169258</v>
      </c>
      <c r="BQ15" s="97">
        <f t="shared" si="3"/>
        <v>7476.355662614957</v>
      </c>
    </row>
    <row r="16" spans="1:69" s="9" customFormat="1" ht="15">
      <c r="A16" s="72">
        <v>2027</v>
      </c>
      <c r="B16" s="98">
        <v>12</v>
      </c>
      <c r="C16" s="220">
        <f>'VMT Bridge BCA'!C16+'VMT Holabird BCA'!C16+'Bridge State of Good Repair'!C16+'Keith State of Good Repair'!C16</f>
        <v>584603</v>
      </c>
      <c r="D16" s="64">
        <f>'VMT Bridge BCA'!D16+'VMT Holabird BCA'!D16+'Bridge State of Good Repair'!D16+'Keith State of Good Repair'!D16</f>
        <v>4817</v>
      </c>
      <c r="E16" s="220">
        <f>'VMT Bridge BCA'!E16+'VMT Holabird BCA'!E16+'Bridge State of Good Repair'!E16+'Keith State of Good Repair'!E16</f>
        <v>5890533.546850526</v>
      </c>
      <c r="F16" s="241">
        <f>'VMT Bridge BCA'!F16+'VMT Holabird BCA'!F16+'Bridge State of Good Repair'!F16+'Keith State of Good Repair'!F16</f>
        <v>5692.213406315788</v>
      </c>
      <c r="G16" s="9">
        <v>0.56</v>
      </c>
      <c r="H16" s="9">
        <v>0.27</v>
      </c>
      <c r="I16" s="9">
        <v>0.01</v>
      </c>
      <c r="J16" s="9">
        <v>0.06</v>
      </c>
      <c r="K16" s="9">
        <v>0.04</v>
      </c>
      <c r="L16" s="9">
        <v>0.001</v>
      </c>
      <c r="M16" s="9">
        <v>0.11</v>
      </c>
      <c r="N16" s="9">
        <v>0.02</v>
      </c>
      <c r="O16" s="9">
        <v>0.02</v>
      </c>
      <c r="P16" s="9">
        <v>0.0009</v>
      </c>
      <c r="Q16" s="91">
        <f>'VMT Bridge BCA'!Q16+'VMT Holabird BCA'!Q16+'Bridge State of Good Repair'!Q16+'Keith State of Good Repair'!Q16</f>
        <v>843885.3259260545</v>
      </c>
      <c r="R16" s="27">
        <f>'VMT Bridge BCA'!R16+'VMT Holabird BCA'!R16+'Bridge State of Good Repair'!R16+'Keith State of Good Repair'!R16</f>
        <v>7.758863709236016</v>
      </c>
      <c r="S16" s="28">
        <f>'VMT Bridge BCA'!S16+'VMT Holabird BCA'!S16+'Bridge State of Good Repair'!S16+'Keith State of Good Repair'!S16</f>
        <v>843893.0847897637</v>
      </c>
      <c r="T16" s="91">
        <f>'VMT Bridge BCA'!T16+'VMT Holabird BCA'!T16+'Bridge State of Good Repair'!T16+'Keith State of Good Repair'!T16</f>
        <v>1476612.607151884</v>
      </c>
      <c r="U16" s="27">
        <f>'VMT Bridge BCA'!U16+'VMT Holabird BCA'!U16+'Bridge State of Good Repair'!U16+'Keith State of Good Repair'!U16</f>
        <v>597.4325056111732</v>
      </c>
      <c r="V16" s="28">
        <f>'VMT Bridge BCA'!V16+'VMT Holabird BCA'!V16+'Bridge State of Good Repair'!V16+'Keith State of Good Repair'!V16</f>
        <v>1477210.0396574952</v>
      </c>
      <c r="W16" s="91">
        <f>'VMT Bridge BCA'!W16+'VMT Holabird BCA'!W16+'Bridge State of Good Repair'!W16+'Keith State of Good Repair'!W16</f>
        <v>92335.65268491689</v>
      </c>
      <c r="X16" s="27">
        <f>'VMT Bridge BCA'!X16+'VMT Holabird BCA'!X16+'Bridge State of Good Repair'!X16+'Keith State of Good Repair'!X16</f>
        <v>92.33047813990858</v>
      </c>
      <c r="Y16" s="28">
        <f>'VMT Bridge BCA'!Y16+'VMT Holabird BCA'!Y16+'Bridge State of Good Repair'!Y16+'Keith State of Good Repair'!Y16</f>
        <v>92427.9831630568</v>
      </c>
      <c r="Z16" s="91">
        <f>'VMT Bridge BCA'!Z16+'VMT Holabird BCA'!Z16+'Bridge State of Good Repair'!Z16+'Keith State of Good Repair'!Z16</f>
        <v>360510.5048306755</v>
      </c>
      <c r="AA16" s="27">
        <f>'VMT Bridge BCA'!AA16+'VMT Holabird BCA'!AA16+'Bridge State of Good Repair'!AA16+'Keith State of Good Repair'!AA16</f>
        <v>103.19288733283902</v>
      </c>
      <c r="AB16" s="28">
        <f>'VMT Bridge BCA'!AB16+'VMT Holabird BCA'!AB16+'Bridge State of Good Repair'!AB16+'Keith State of Good Repair'!AB16</f>
        <v>360613.69771800836</v>
      </c>
      <c r="AC16" s="91">
        <f>'VMT Bridge BCA'!AC16+'VMT Holabird BCA'!AC16+'Bridge State of Good Repair'!AC16+'Keith State of Good Repair'!AC16</f>
        <v>220810.47649398795</v>
      </c>
      <c r="AD16" s="27">
        <f>'VMT Bridge BCA'!AD16+'VMT Holabird BCA'!AD16+'Bridge State of Good Repair'!AD16+'Keith State of Good Repair'!AD16</f>
        <v>6.9829773383124145</v>
      </c>
      <c r="AE16" s="28">
        <f>'VMT Bridge BCA'!AE16+'VMT Holabird BCA'!AE16+'Bridge State of Good Repair'!AE16+'Keith State of Good Repair'!AE16</f>
        <v>220817.45947132626</v>
      </c>
      <c r="AF16" s="20">
        <f>'VMT Bridge BCA'!AF16+'VMT Holabird BCA'!AF16+'Bridge State of Good Repair'!AF16+'Keith State of Good Repair'!AF16</f>
        <v>950086.0559436331</v>
      </c>
      <c r="AG16" s="20">
        <f>'VMT Bridge BCA'!AG16+'VMT Holabird BCA'!AG16+'Bridge State of Good Repair'!AG16+'Keith State of Good Repair'!AG16</f>
        <v>232.3352410741138</v>
      </c>
      <c r="AH16" s="28">
        <f>'VMT Bridge BCA'!AH16+'VMT Holabird BCA'!AH16+'Bridge State of Good Repair'!AH16+'Keith State of Good Repair'!AH16</f>
        <v>1957655.885840497</v>
      </c>
      <c r="AI16" s="28">
        <f>'VMT Bridge BCA'!AI16+'VMT Holabird BCA'!AI16+'Bridge State of Good Repair'!AI16+'Keith State of Good Repair'!AI16</f>
        <v>-231820.99765024649</v>
      </c>
      <c r="AJ16" s="28">
        <f>'VMT Bridge BCA'!AJ16+'VMT Holabird BCA'!AJ16+'Bridge State of Good Repair'!AJ16+'Keith State of Good Repair'!AJ16</f>
        <v>-42.74968435763694</v>
      </c>
      <c r="AK16" s="20">
        <f>'VMT Bridge BCA'!AK16+'VMT Holabird BCA'!AK16+'Bridge State of Good Repair'!AK16+'Keith State of Good Repair'!AK16</f>
        <v>88447126.46103157</v>
      </c>
      <c r="AL16" s="20">
        <f>'VMT Bridge BCA'!AL16+'VMT Holabird BCA'!AL16+'Bridge State of Good Repair'!AL16+'Keith State of Good Repair'!AL16</f>
        <v>6333.69872587447</v>
      </c>
      <c r="AM16" s="212">
        <f>'VMT Bridge BCA'!AM16+'VMT Holabird BCA'!AM16</f>
        <v>66.78</v>
      </c>
      <c r="AN16" s="28">
        <f>'VMT Bridge BCA'!AN16+'VMT Holabird BCA'!AN16+'Bridge State of Good Repair'!AN16+'Keith State of Good Repair'!AN16</f>
        <v>211482.20045694857</v>
      </c>
      <c r="AO16" s="67">
        <f t="shared" si="0"/>
        <v>0.7013798801929733</v>
      </c>
      <c r="AP16" s="28">
        <f>'VMT Bridge BCA'!AP16+'VMT Holabird BCA'!AP16+'Bridge State of Good Repair'!AP16+'Keith State of Good Repair'!AP16</f>
        <v>591889.6307055231</v>
      </c>
      <c r="AQ16" s="28">
        <f>'VMT Bridge BCA'!AQ16+'VMT Holabird BCA'!AQ16+'Bridge State of Good Repair'!AQ16+'Keith State of Good Repair'!AQ16</f>
        <v>1036085.4006348313</v>
      </c>
      <c r="AR16" s="28">
        <f>'VMT Bridge BCA'!AR16+'VMT Holabird BCA'!AR16+'Bridge State of Good Repair'!AR16+'Keith State of Good Repair'!AR16</f>
        <v>64827.12775738293</v>
      </c>
      <c r="AS16" s="28">
        <f>'VMT Bridge BCA'!AS16+'VMT Holabird BCA'!AS16+'Bridge State of Good Repair'!AS16+'Keith State of Good Repair'!AS16</f>
        <v>252927.19210140177</v>
      </c>
      <c r="AT16" s="28">
        <f>'VMT Bridge BCA'!AT16+'VMT Holabird BCA'!AT16+'Bridge State of Good Repair'!AT16+'Keith State of Good Repair'!AT16</f>
        <v>154876.92326851556</v>
      </c>
      <c r="AU16" s="28">
        <f>'VMT Bridge BCA'!AU16+'VMT Holabird BCA'!AU16+'Bridge State of Good Repair'!AU16+'Keith State of Good Repair'!AU16</f>
        <v>1373060.4506698765</v>
      </c>
      <c r="AV16" s="28">
        <f>'VMT Bridge BCA'!AV16+'VMT Holabird BCA'!AV16+'Bridge State of Good Repair'!AV16+'Keith State of Good Repair'!AV16</f>
        <v>-162594.58355814542</v>
      </c>
      <c r="AW16" s="28">
        <f>'VMT Bridge BCA'!AW16+'VMT Holabird BCA'!AW16+'Bridge State of Good Repair'!AW16+'Keith State of Good Repair'!AW16</f>
        <v>-29.983768493046817</v>
      </c>
      <c r="AX16" s="28">
        <f>'VMT Bridge BCA'!AX16+'VMT Holabird BCA'!AX16+'Bridge State of Good Repair'!AX16+'Keith State of Good Repair'!AX16</f>
        <v>148329.36041944093</v>
      </c>
      <c r="AY16" s="67">
        <f t="shared" si="1"/>
        <v>0.4440119592407353</v>
      </c>
      <c r="AZ16" s="28">
        <f>'VMT Bridge BCA'!AZ16+'VMT Holabird BCA'!AZ16+'Bridge State of Good Repair'!AZ16+'Keith State of Good Repair'!AZ16</f>
        <v>374698.6219672109</v>
      </c>
      <c r="BA16" s="28">
        <f>'VMT Bridge BCA'!BA16+'VMT Holabird BCA'!BA16+'Bridge State of Good Repair'!BA16+'Keith State of Good Repair'!BA16</f>
        <v>655898.9239184087</v>
      </c>
      <c r="BB16" s="28">
        <f>'VMT Bridge BCA'!BB16+'VMT Holabird BCA'!BB16+'Bridge State of Good Repair'!BB16+'Keith State of Good Repair'!BB16</f>
        <v>41039.12989289854</v>
      </c>
      <c r="BC16" s="28">
        <f>'VMT Bridge BCA'!BC16+'VMT Holabird BCA'!BC16+'Bridge State of Good Repair'!BC16+'Keith State of Good Repair'!BC16</f>
        <v>160116.79445281916</v>
      </c>
      <c r="BD16" s="28">
        <f>'VMT Bridge BCA'!BD16+'VMT Holabird BCA'!BD16+'Bridge State of Good Repair'!BD16+'Keith State of Good Repair'!BD16</f>
        <v>98045.59281442522</v>
      </c>
      <c r="BE16" s="28">
        <f>'VMT Bridge BCA'!BE16+'VMT Holabird BCA'!BE16+'Bridge State of Good Repair'!BE16+'Keith State of Good Repair'!BE16</f>
        <v>869222.6253911962</v>
      </c>
      <c r="BF16" s="28">
        <f>'VMT Bridge BCA'!BF16+'VMT Holabird BCA'!BF16+'Bridge State of Good Repair'!BF16+'Keith State of Good Repair'!BF16</f>
        <v>-102931.29535982783</v>
      </c>
      <c r="BG16" s="28">
        <f>'VMT Bridge BCA'!BG16+'VMT Holabird BCA'!BG16+'Bridge State of Good Repair'!BG16+'Keith State of Good Repair'!BG16</f>
        <v>-18.98137110855739</v>
      </c>
      <c r="BH16" s="28">
        <f>'VMT Bridge BCA'!BH16+'VMT Holabird BCA'!BH16+'Bridge State of Good Repair'!BH16+'Keith State of Good Repair'!BH16</f>
        <v>93900.62616943166</v>
      </c>
      <c r="BI16" s="28">
        <f>'VMT Bridge BCA'!BI16+'VMT Holabird BCA'!BI16+'Bridge State of Good Repair'!BI16+'Keith State of Good Repair'!BI16</f>
        <v>100000</v>
      </c>
      <c r="BJ16" s="28">
        <f>'VMT Bridge BCA'!BJ16+'VMT Holabird BCA'!BJ16+'Bridge State of Good Repair'!BJ16+'Keith State of Good Repair'!BJ16</f>
        <v>70137.98801929732</v>
      </c>
      <c r="BK16" s="28">
        <f>'VMT Bridge BCA'!BK16+'VMT Holabird BCA'!BK16+'Bridge State of Good Repair'!BK16+'Keith State of Good Repair'!BK16</f>
        <v>44401.19592407353</v>
      </c>
      <c r="BL16" s="28">
        <f>'VMT Bridge BCA'!BL16+'VMT Holabird BCA'!BL16+'Bridge State of Good Repair'!BL16+'Keith State of Good Repair'!BL16</f>
        <v>6000</v>
      </c>
      <c r="BM16" s="28">
        <f>'VMT Bridge BCA'!BM16+'VMT Holabird BCA'!BM16+'Bridge State of Good Repair'!BM16+'Keith State of Good Repair'!BM16</f>
        <v>4208.279281157839</v>
      </c>
      <c r="BN16" s="28">
        <f>'VMT Bridge BCA'!BN16+'VMT Holabird BCA'!BN16+'Bridge State of Good Repair'!BN16+'Keith State of Good Repair'!BN16</f>
        <v>2664.071755444412</v>
      </c>
      <c r="BO16" s="88">
        <f>'Complete Streets Bio Retention'!$A$21</f>
        <v>15736.62181254302</v>
      </c>
      <c r="BP16" s="97">
        <f t="shared" si="2"/>
        <v>11037.349921523553</v>
      </c>
      <c r="BQ16" s="97">
        <f t="shared" si="3"/>
        <v>6987.248282817717</v>
      </c>
    </row>
    <row r="17" spans="1:69" s="9" customFormat="1" ht="15">
      <c r="A17" s="71">
        <v>2028</v>
      </c>
      <c r="B17" s="99">
        <v>13</v>
      </c>
      <c r="C17" s="220">
        <f>'VMT Bridge BCA'!C17+'VMT Holabird BCA'!C17+'Bridge State of Good Repair'!C17+'Keith State of Good Repair'!C17</f>
        <v>590448</v>
      </c>
      <c r="D17" s="64">
        <f>'VMT Bridge BCA'!D17+'VMT Holabird BCA'!D17+'Bridge State of Good Repair'!D17+'Keith State of Good Repair'!D17</f>
        <v>4866</v>
      </c>
      <c r="E17" s="220">
        <f>'VMT Bridge BCA'!E17+'VMT Holabird BCA'!E17+'Bridge State of Good Repair'!E17+'Keith State of Good Repair'!E17</f>
        <v>5949434.115625263</v>
      </c>
      <c r="F17" s="241">
        <f>'VMT Bridge BCA'!F17+'VMT Holabird BCA'!F17+'Bridge State of Good Repair'!F17+'Keith State of Good Repair'!F17</f>
        <v>5750.116345263156</v>
      </c>
      <c r="G17" s="9">
        <v>0.56</v>
      </c>
      <c r="H17" s="9">
        <v>0.27</v>
      </c>
      <c r="I17" s="9">
        <v>0.01</v>
      </c>
      <c r="J17" s="9">
        <v>0.06</v>
      </c>
      <c r="K17" s="9">
        <v>0.04</v>
      </c>
      <c r="L17" s="9">
        <v>0.001</v>
      </c>
      <c r="M17" s="9">
        <v>0.11</v>
      </c>
      <c r="N17" s="9">
        <v>0.02</v>
      </c>
      <c r="O17" s="9">
        <v>0.02</v>
      </c>
      <c r="P17" s="9">
        <v>0.0009</v>
      </c>
      <c r="Q17" s="91">
        <f>'VMT Bridge BCA'!Q17+'VMT Holabird BCA'!Q17+'Bridge State of Good Repair'!Q17+'Keith State of Good Repair'!Q17</f>
        <v>852323.614485319</v>
      </c>
      <c r="R17" s="27">
        <f>'VMT Bridge BCA'!R17+'VMT Holabird BCA'!R17+'Bridge State of Good Repair'!R17+'Keith State of Good Repair'!R17</f>
        <v>7.837789248316889</v>
      </c>
      <c r="S17" s="28">
        <f>'VMT Bridge BCA'!S17+'VMT Holabird BCA'!S17+'Bridge State of Good Repair'!S17+'Keith State of Good Repair'!S17</f>
        <v>852331.4522745673</v>
      </c>
      <c r="T17" s="91">
        <f>'VMT Bridge BCA'!T17+'VMT Holabird BCA'!T17+'Bridge State of Good Repair'!T17+'Keith State of Good Repair'!T17</f>
        <v>1491377.5448221941</v>
      </c>
      <c r="U17" s="27">
        <f>'VMT Bridge BCA'!U17+'VMT Holabird BCA'!U17+'Bridge State of Good Repair'!U17+'Keith State of Good Repair'!U17</f>
        <v>603.5097721204004</v>
      </c>
      <c r="V17" s="28">
        <f>'VMT Bridge BCA'!V17+'VMT Holabird BCA'!V17+'Bridge State of Good Repair'!V17+'Keith State of Good Repair'!V17</f>
        <v>1491981.0545943144</v>
      </c>
      <c r="W17" s="91">
        <f>'VMT Bridge BCA'!W17+'VMT Holabird BCA'!W17+'Bridge State of Good Repair'!W17+'Keith State of Good Repair'!W17</f>
        <v>93258.93449259558</v>
      </c>
      <c r="X17" s="27">
        <f>'VMT Bridge BCA'!X17+'VMT Holabird BCA'!X17+'Bridge State of Good Repair'!X17+'Keith State of Good Repair'!X17</f>
        <v>93.26969205497096</v>
      </c>
      <c r="Y17" s="28">
        <f>'VMT Bridge BCA'!Y17+'VMT Holabird BCA'!Y17+'Bridge State of Good Repair'!Y17+'Keith State of Good Repair'!Y17</f>
        <v>93352.20418465056</v>
      </c>
      <c r="Z17" s="91">
        <f>'VMT Bridge BCA'!Z17+'VMT Holabird BCA'!Z17+'Bridge State of Good Repair'!Z17+'Keith State of Good Repair'!Z17</f>
        <v>364115.3181493515</v>
      </c>
      <c r="AA17" s="27">
        <f>'VMT Bridge BCA'!AA17+'VMT Holabird BCA'!AA17+'Bridge State of Good Repair'!AA17+'Keith State of Good Repair'!AA17</f>
        <v>104.24259700261462</v>
      </c>
      <c r="AB17" s="28">
        <f>'VMT Bridge BCA'!AB17+'VMT Holabird BCA'!AB17+'Bridge State of Good Repair'!AB17+'Keith State of Good Repair'!AB17</f>
        <v>364219.5607463541</v>
      </c>
      <c r="AC17" s="91">
        <f>'VMT Bridge BCA'!AC17+'VMT Holabird BCA'!AC17+'Bridge State of Good Repair'!AC17+'Keith State of Good Repair'!AC17</f>
        <v>223018.40370371542</v>
      </c>
      <c r="AD17" s="27">
        <f>'VMT Bridge BCA'!AD17+'VMT Holabird BCA'!AD17+'Bridge State of Good Repair'!AD17+'Keith State of Good Repair'!AD17</f>
        <v>7.054010323485199</v>
      </c>
      <c r="AE17" s="28">
        <f>'VMT Bridge BCA'!AE17+'VMT Holabird BCA'!AE17+'Bridge State of Good Repair'!AE17+'Keith State of Good Repair'!AE17</f>
        <v>223025.4577140389</v>
      </c>
      <c r="AF17" s="20">
        <f>'VMT Bridge BCA'!AF17+'VMT Holabird BCA'!AF17+'Bridge State of Good Repair'!AF17+'Keith State of Good Repair'!AF17</f>
        <v>959586.147681494</v>
      </c>
      <c r="AG17" s="20">
        <f>'VMT Bridge BCA'!AG17+'VMT Holabird BCA'!AG17+'Bridge State of Good Repair'!AG17+'Keith State of Good Repair'!AG17</f>
        <v>234.6986263372717</v>
      </c>
      <c r="AH17" s="28">
        <f>'VMT Bridge BCA'!AH17+'VMT Holabird BCA'!AH17+'Bridge State of Good Repair'!AH17+'Keith State of Good Repair'!AH17</f>
        <v>1977230.9433941324</v>
      </c>
      <c r="AI17" s="28">
        <f>'VMT Bridge BCA'!AI17+'VMT Holabird BCA'!AI17+'Bridge State of Good Repair'!AI17+'Keith State of Good Repair'!AI17</f>
        <v>-234139.02003428453</v>
      </c>
      <c r="AJ17" s="28">
        <f>'VMT Bridge BCA'!AJ17+'VMT Holabird BCA'!AJ17+'Bridge State of Good Repair'!AJ17+'Keith State of Good Repair'!AJ17</f>
        <v>-43.18454724605799</v>
      </c>
      <c r="AK17" s="20">
        <f>'VMT Bridge BCA'!AK17+'VMT Holabird BCA'!AK17+'Bridge State of Good Repair'!AK17+'Keith State of Good Repair'!AK17</f>
        <v>89331538.98751578</v>
      </c>
      <c r="AL17" s="20">
        <f>'VMT Bridge BCA'!AL17+'VMT Holabird BCA'!AL17+'Bridge State of Good Repair'!AL17+'Keith State of Good Repair'!AL17</f>
        <v>6397.031506896005</v>
      </c>
      <c r="AM17" s="212">
        <f>'VMT Bridge BCA'!AM17+'VMT Holabird BCA'!AM17</f>
        <v>67.92</v>
      </c>
      <c r="AN17" s="28">
        <f>'VMT Bridge BCA'!AN17+'VMT Holabird BCA'!AN17+'Bridge State of Good Repair'!AN17+'Keith State of Good Repair'!AN17</f>
        <v>217243.18997418837</v>
      </c>
      <c r="AO17" s="67">
        <f t="shared" si="0"/>
        <v>0.6809513399931779</v>
      </c>
      <c r="AP17" s="28">
        <f>'VMT Bridge BCA'!AP17+'VMT Holabird BCA'!AP17+'Bridge State of Good Repair'!AP17+'Keith State of Good Repair'!AP17</f>
        <v>580396.2445446979</v>
      </c>
      <c r="AQ17" s="28">
        <f>'VMT Bridge BCA'!AQ17+'VMT Holabird BCA'!AQ17+'Bridge State of Good Repair'!AQ17+'Keith State of Good Repair'!AQ17</f>
        <v>1015966.4983704332</v>
      </c>
      <c r="AR17" s="28">
        <f>'VMT Bridge BCA'!AR17+'VMT Holabird BCA'!AR17+'Bridge State of Good Repair'!AR17+'Keith State of Good Repair'!AR17</f>
        <v>63568.30853085455</v>
      </c>
      <c r="AS17" s="28">
        <f>'VMT Bridge BCA'!AS17+'VMT Holabird BCA'!AS17+'Bridge State of Good Repair'!AS17+'Keith State of Good Repair'!AS17</f>
        <v>248015.79794195652</v>
      </c>
      <c r="AT17" s="28">
        <f>'VMT Bridge BCA'!AT17+'VMT Holabird BCA'!AT17+'Bridge State of Good Repair'!AT17+'Keith State of Good Repair'!AT17</f>
        <v>151869.48428296664</v>
      </c>
      <c r="AU17" s="28">
        <f>'VMT Bridge BCA'!AU17+'VMT Holabird BCA'!AU17+'Bridge State of Good Repair'!AU17+'Keith State of Good Repair'!AU17</f>
        <v>1346398.0603802097</v>
      </c>
      <c r="AV17" s="28">
        <f>'VMT Bridge BCA'!AV17+'VMT Holabird BCA'!AV17+'Bridge State of Good Repair'!AV17+'Keith State of Good Repair'!AV17</f>
        <v>-159437.27943703558</v>
      </c>
      <c r="AW17" s="28">
        <f>'VMT Bridge BCA'!AW17+'VMT Holabird BCA'!AW17+'Bridge State of Good Repair'!AW17+'Keith State of Good Repair'!AW17</f>
        <v>-29.406575314201888</v>
      </c>
      <c r="AX17" s="28">
        <f>'VMT Bridge BCA'!AX17+'VMT Holabird BCA'!AX17+'Bridge State of Good Repair'!AX17+'Keith State of Good Repair'!AX17</f>
        <v>147932.0413173161</v>
      </c>
      <c r="AY17" s="67">
        <f t="shared" si="1"/>
        <v>0.4149644478885376</v>
      </c>
      <c r="AZ17" s="28">
        <f>'VMT Bridge BCA'!AZ17+'VMT Holabird BCA'!AZ17+'Bridge State of Good Repair'!AZ17+'Keith State of Good Repair'!AZ17</f>
        <v>353687.2505111513</v>
      </c>
      <c r="BA17" s="28">
        <f>'VMT Bridge BCA'!BA17+'VMT Holabird BCA'!BA17+'Bridge State of Good Repair'!BA17+'Keith State of Good Repair'!BA17</f>
        <v>619119.0945798877</v>
      </c>
      <c r="BB17" s="28">
        <f>'VMT Bridge BCA'!BB17+'VMT Holabird BCA'!BB17+'Bridge State of Good Repair'!BB17+'Keith State of Good Repair'!BB17</f>
        <v>38737.84586866155</v>
      </c>
      <c r="BC17" s="28">
        <f>'VMT Bridge BCA'!BC17+'VMT Holabird BCA'!BC17+'Bridge State of Good Repair'!BC17+'Keith State of Good Repair'!BC17</f>
        <v>151138.16893531653</v>
      </c>
      <c r="BD17" s="28">
        <f>'VMT Bridge BCA'!BD17+'VMT Holabird BCA'!BD17+'Bridge State of Good Repair'!BD17+'Keith State of Good Repair'!BD17</f>
        <v>92547.63592539456</v>
      </c>
      <c r="BE17" s="28">
        <f>'VMT Bridge BCA'!BE17+'VMT Holabird BCA'!BE17+'Bridge State of Good Repair'!BE17+'Keith State of Good Repair'!BE17</f>
        <v>820480.5467736784</v>
      </c>
      <c r="BF17" s="28">
        <f>'VMT Bridge BCA'!BF17+'VMT Holabird BCA'!BF17+'Bridge State of Good Repair'!BF17+'Keith State of Good Repair'!BF17</f>
        <v>-97159.36917769011</v>
      </c>
      <c r="BG17" s="28">
        <f>'VMT Bridge BCA'!BG17+'VMT Holabird BCA'!BG17+'Bridge State of Good Repair'!BG17+'Keith State of Good Repair'!BG17</f>
        <v>-17.92005180527692</v>
      </c>
      <c r="BH17" s="28">
        <f>'VMT Bridge BCA'!BH17+'VMT Holabird BCA'!BH17+'Bridge State of Good Repair'!BH17+'Keith State of Good Repair'!BH17</f>
        <v>90148.20038518375</v>
      </c>
      <c r="BI17" s="28">
        <f>'VMT Bridge BCA'!BI17+'VMT Holabird BCA'!BI17+'Bridge State of Good Repair'!BI17+'Keith State of Good Repair'!BI17</f>
        <v>100000</v>
      </c>
      <c r="BJ17" s="28">
        <f>'VMT Bridge BCA'!BJ17+'VMT Holabird BCA'!BJ17+'Bridge State of Good Repair'!BJ17+'Keith State of Good Repair'!BJ17</f>
        <v>68095.1339993178</v>
      </c>
      <c r="BK17" s="28">
        <f>'VMT Bridge BCA'!BK17+'VMT Holabird BCA'!BK17+'Bridge State of Good Repair'!BK17+'Keith State of Good Repair'!BK17</f>
        <v>41496.44478885376</v>
      </c>
      <c r="BL17" s="28">
        <f>'VMT Bridge BCA'!BL17+'VMT Holabird BCA'!BL17+'Bridge State of Good Repair'!BL17+'Keith State of Good Repair'!BL17</f>
        <v>6000</v>
      </c>
      <c r="BM17" s="28">
        <f>'VMT Bridge BCA'!BM17+'VMT Holabird BCA'!BM17+'Bridge State of Good Repair'!BM17+'Keith State of Good Repair'!BM17</f>
        <v>4085.7080399590677</v>
      </c>
      <c r="BN17" s="28">
        <f>'VMT Bridge BCA'!BN17+'VMT Holabird BCA'!BN17+'Bridge State of Good Repair'!BN17+'Keith State of Good Repair'!BN17</f>
        <v>2489.7866873312255</v>
      </c>
      <c r="BO17" s="88">
        <f>'Complete Streets Bio Retention'!$A$21</f>
        <v>15736.62181254302</v>
      </c>
      <c r="BP17" s="97">
        <f t="shared" si="2"/>
        <v>10715.873710217042</v>
      </c>
      <c r="BQ17" s="97">
        <f t="shared" si="3"/>
        <v>6530.138582072632</v>
      </c>
    </row>
    <row r="18" spans="1:69" s="9" customFormat="1" ht="15">
      <c r="A18" s="72">
        <v>2029</v>
      </c>
      <c r="B18" s="99">
        <v>14</v>
      </c>
      <c r="C18" s="220">
        <f>'VMT Bridge BCA'!C18+'VMT Holabird BCA'!C18+'Bridge State of Good Repair'!C18+'Keith State of Good Repair'!C18</f>
        <v>596354</v>
      </c>
      <c r="D18" s="64">
        <f>'VMT Bridge BCA'!D18+'VMT Holabird BCA'!D18+'Bridge State of Good Repair'!D18+'Keith State of Good Repair'!D18</f>
        <v>4915</v>
      </c>
      <c r="E18" s="220">
        <f>'VMT Bridge BCA'!E18+'VMT Holabird BCA'!E18+'Bridge State of Good Repair'!E18+'Keith State of Good Repair'!E18</f>
        <v>6008935.8944</v>
      </c>
      <c r="F18" s="241">
        <f>'VMT Bridge BCA'!F18+'VMT Holabird BCA'!F18+'Bridge State of Good Repair'!F18+'Keith State of Good Repair'!F18</f>
        <v>5808.019284210525</v>
      </c>
      <c r="G18" s="9">
        <v>0.56</v>
      </c>
      <c r="H18" s="9">
        <v>0.27</v>
      </c>
      <c r="I18" s="9">
        <v>0.01</v>
      </c>
      <c r="J18" s="9">
        <v>0.06</v>
      </c>
      <c r="K18" s="9">
        <v>0.04</v>
      </c>
      <c r="L18" s="9">
        <v>0.001</v>
      </c>
      <c r="M18" s="9">
        <v>0.11</v>
      </c>
      <c r="N18" s="9">
        <v>0.02</v>
      </c>
      <c r="O18" s="9">
        <v>0.02</v>
      </c>
      <c r="P18" s="9">
        <v>0.0009</v>
      </c>
      <c r="Q18" s="91">
        <f>'VMT Bridge BCA'!Q18+'VMT Holabird BCA'!Q18+'Bridge State of Good Repair'!Q18+'Keith State of Good Repair'!Q18</f>
        <v>860847.9493928762</v>
      </c>
      <c r="R18" s="27">
        <f>'VMT Bridge BCA'!R18+'VMT Holabird BCA'!R18+'Bridge State of Good Repair'!R18+'Keith State of Good Repair'!R18</f>
        <v>7.916714787397763</v>
      </c>
      <c r="S18" s="28">
        <f>'VMT Bridge BCA'!S18+'VMT Holabird BCA'!S18+'Bridge State of Good Repair'!S18+'Keith State of Good Repair'!S18</f>
        <v>860855.8661076636</v>
      </c>
      <c r="T18" s="91">
        <f>'VMT Bridge BCA'!T18+'VMT Holabird BCA'!T18+'Bridge State of Good Repair'!T18+'Keith State of Good Repair'!T18</f>
        <v>1506293.1865253712</v>
      </c>
      <c r="U18" s="27">
        <f>'VMT Bridge BCA'!U18+'VMT Holabird BCA'!U18+'Bridge State of Good Repair'!U18+'Keith State of Good Repair'!U18</f>
        <v>609.5870386296276</v>
      </c>
      <c r="V18" s="28">
        <f>'VMT Bridge BCA'!V18+'VMT Holabird BCA'!V18+'Bridge State of Good Repair'!V18+'Keith State of Good Repair'!V18</f>
        <v>1506902.7735640008</v>
      </c>
      <c r="W18" s="91">
        <f>'VMT Bridge BCA'!W18+'VMT Holabird BCA'!W18+'Bridge State of Good Repair'!W18+'Keith State of Good Repair'!W18</f>
        <v>94191.64042413491</v>
      </c>
      <c r="X18" s="27">
        <f>'VMT Bridge BCA'!X18+'VMT Holabird BCA'!X18+'Bridge State of Good Repair'!X18+'Keith State of Good Repair'!X18</f>
        <v>94.20890597003336</v>
      </c>
      <c r="Y18" s="28">
        <f>'VMT Bridge BCA'!Y18+'VMT Holabird BCA'!Y18+'Bridge State of Good Repair'!Y18+'Keith State of Good Repair'!Y18</f>
        <v>94285.84933010495</v>
      </c>
      <c r="Z18" s="91">
        <f>'VMT Bridge BCA'!Z18+'VMT Holabird BCA'!Z18+'Bridge State of Good Repair'!Z18+'Keith State of Good Repair'!Z18</f>
        <v>367756.9265255354</v>
      </c>
      <c r="AA18" s="27">
        <f>'VMT Bridge BCA'!AA18+'VMT Holabird BCA'!AA18+'Bridge State of Good Repair'!AA18+'Keith State of Good Repair'!AA18</f>
        <v>105.29230667239024</v>
      </c>
      <c r="AB18" s="28">
        <f>'VMT Bridge BCA'!AB18+'VMT Holabird BCA'!AB18+'Bridge State of Good Repair'!AB18+'Keith State of Good Repair'!AB18</f>
        <v>367862.21883220784</v>
      </c>
      <c r="AC18" s="91">
        <f>'VMT Bridge BCA'!AC18+'VMT Holabird BCA'!AC18+'Bridge State of Good Repair'!AC18+'Keith State of Good Repair'!AC18</f>
        <v>225248.86686180523</v>
      </c>
      <c r="AD18" s="27">
        <f>'VMT Bridge BCA'!AD18+'VMT Holabird BCA'!AD18+'Bridge State of Good Repair'!AD18+'Keith State of Good Repair'!AD18</f>
        <v>7.125043308657986</v>
      </c>
      <c r="AE18" s="28">
        <f>'VMT Bridge BCA'!AE18+'VMT Holabird BCA'!AE18+'Bridge State of Good Repair'!AE18+'Keith State of Good Repair'!AE18</f>
        <v>225255.9919051139</v>
      </c>
      <c r="AF18" s="20">
        <f>'VMT Bridge BCA'!AF18+'VMT Holabird BCA'!AF18+'Bridge State of Good Repair'!AF18+'Keith State of Good Repair'!AF18</f>
        <v>969183.2087741934</v>
      </c>
      <c r="AG18" s="20">
        <f>'VMT Bridge BCA'!AG18+'VMT Holabird BCA'!AG18+'Bridge State of Good Repair'!AG18+'Keith State of Good Repair'!AG18</f>
        <v>237.0620116004296</v>
      </c>
      <c r="AH18" s="28">
        <f>'VMT Bridge BCA'!AH18+'VMT Holabird BCA'!AH18+'Bridge State of Good Repair'!AH18+'Keith State of Good Repair'!AH18</f>
        <v>1997005.7578187352</v>
      </c>
      <c r="AI18" s="28">
        <f>'VMT Bridge BCA'!AI18+'VMT Holabird BCA'!AI18+'Bridge State of Good Repair'!AI18+'Keith State of Good Repair'!AI18</f>
        <v>-236480.70294090317</v>
      </c>
      <c r="AJ18" s="28">
        <f>'VMT Bridge BCA'!AJ18+'VMT Holabird BCA'!AJ18+'Bridge State of Good Repair'!AJ18+'Keith State of Good Repair'!AJ18</f>
        <v>-43.61941013447905</v>
      </c>
      <c r="AK18" s="20">
        <f>'VMT Bridge BCA'!AK18+'VMT Holabird BCA'!AK18+'Bridge State of Good Repair'!AK18+'Keith State of Good Repair'!AK18</f>
        <v>90224969.66399997</v>
      </c>
      <c r="AL18" s="20">
        <f>'VMT Bridge BCA'!AL18+'VMT Holabird BCA'!AL18+'Bridge State of Good Repair'!AL18+'Keith State of Good Repair'!AL18</f>
        <v>6461.010077639039</v>
      </c>
      <c r="AM18" s="212">
        <f>'VMT Bridge BCA'!AM18+'VMT Holabird BCA'!AM18</f>
        <v>69.06</v>
      </c>
      <c r="AN18" s="28">
        <f>'VMT Bridge BCA'!AN18+'VMT Holabird BCA'!AN18+'Bridge State of Good Repair'!AN18+'Keith State of Good Repair'!AN18</f>
        <v>223098.67798087603</v>
      </c>
      <c r="AO18" s="67">
        <f t="shared" si="0"/>
        <v>0.6611178058186192</v>
      </c>
      <c r="AP18" s="28">
        <f>'VMT Bridge BCA'!AP18+'VMT Holabird BCA'!AP18+'Bridge State of Good Repair'!AP18+'Keith State of Good Repair'!AP18</f>
        <v>569127.1413271856</v>
      </c>
      <c r="AQ18" s="28">
        <f>'VMT Bridge BCA'!AQ18+'VMT Holabird BCA'!AQ18+'Bridge State of Good Repair'!AQ18+'Keith State of Good Repair'!AQ18</f>
        <v>996240.2552406238</v>
      </c>
      <c r="AR18" s="28">
        <f>'VMT Bridge BCA'!AR18+'VMT Holabird BCA'!AR18+'Bridge State of Good Repair'!AR18+'Keith State of Good Repair'!AR18</f>
        <v>62334.05382886391</v>
      </c>
      <c r="AS18" s="28">
        <f>'VMT Bridge BCA'!AS18+'VMT Holabird BCA'!AS18+'Bridge State of Good Repair'!AS18+'Keith State of Good Repair'!AS18</f>
        <v>243200.262957918</v>
      </c>
      <c r="AT18" s="28">
        <f>'VMT Bridge BCA'!AT18+'VMT Holabird BCA'!AT18+'Bridge State of Good Repair'!AT18+'Keith State of Good Repair'!AT18</f>
        <v>148920.74711580554</v>
      </c>
      <c r="AU18" s="28">
        <f>'VMT Bridge BCA'!AU18+'VMT Holabird BCA'!AU18+'Bridge State of Good Repair'!AU18+'Keith State of Good Repair'!AU18</f>
        <v>1320256.0648162712</v>
      </c>
      <c r="AV18" s="28">
        <f>'VMT Bridge BCA'!AV18+'VMT Holabird BCA'!AV18+'Bridge State of Good Repair'!AV18+'Keith State of Good Repair'!AV18</f>
        <v>-156341.6034467346</v>
      </c>
      <c r="AW18" s="28">
        <f>'VMT Bridge BCA'!AW18+'VMT Holabird BCA'!AW18+'Bridge State of Good Repair'!AW18+'Keith State of Good Repair'!AW18</f>
        <v>-28.83756871920923</v>
      </c>
      <c r="AX18" s="28">
        <f>'VMT Bridge BCA'!AX18+'VMT Holabird BCA'!AX18+'Bridge State of Good Repair'!AX18+'Keith State of Good Repair'!AX18</f>
        <v>147494.50846775147</v>
      </c>
      <c r="AY18" s="67">
        <f t="shared" si="1"/>
        <v>0.3878172410173249</v>
      </c>
      <c r="AZ18" s="28">
        <f>'VMT Bridge BCA'!AZ18+'VMT Holabird BCA'!AZ18+'Bridge State of Good Repair'!AZ18+'Keith State of Good Repair'!AZ18</f>
        <v>333854.74690745375</v>
      </c>
      <c r="BA18" s="28">
        <f>'VMT Bridge BCA'!BA18+'VMT Holabird BCA'!BA18+'Bridge State of Good Repair'!BA18+'Keith State of Good Repair'!BA18</f>
        <v>584402.8761249455</v>
      </c>
      <c r="BB18" s="28">
        <f>'VMT Bridge BCA'!BB18+'VMT Holabird BCA'!BB18+'Bridge State of Good Repair'!BB18+'Keith State of Good Repair'!BB18</f>
        <v>36565.67795417649</v>
      </c>
      <c r="BC18" s="28">
        <f>'VMT Bridge BCA'!BC18+'VMT Holabird BCA'!BC18+'Bridge State of Good Repair'!BC18+'Keith State of Good Repair'!BC18</f>
        <v>142663.31078201826</v>
      </c>
      <c r="BD18" s="28">
        <f>'VMT Bridge BCA'!BD18+'VMT Holabird BCA'!BD18+'Bridge State of Good Repair'!BD18+'Keith State of Good Repair'!BD18</f>
        <v>87358.15730326214</v>
      </c>
      <c r="BE18" s="28">
        <f>'VMT Bridge BCA'!BE18+'VMT Holabird BCA'!BE18+'Bridge State of Good Repair'!BE18+'Keith State of Good Repair'!BE18</f>
        <v>774473.2632929741</v>
      </c>
      <c r="BF18" s="28">
        <f>'VMT Bridge BCA'!BF18+'VMT Holabird BCA'!BF18+'Bridge State of Good Repair'!BF18+'Keith State of Good Repair'!BF18</f>
        <v>-91711.29376837866</v>
      </c>
      <c r="BG18" s="28">
        <f>'VMT Bridge BCA'!BG18+'VMT Holabird BCA'!BG18+'Bridge State of Good Repair'!BG18+'Keith State of Good Repair'!BG18</f>
        <v>-16.916359293156805</v>
      </c>
      <c r="BH18" s="28">
        <f>'VMT Bridge BCA'!BH18+'VMT Holabird BCA'!BH18+'Bridge State of Good Repair'!BH18+'Keith State of Good Repair'!BH18</f>
        <v>86521.51376915595</v>
      </c>
      <c r="BI18" s="28">
        <f>'VMT Bridge BCA'!BI18+'VMT Holabird BCA'!BI18+'Bridge State of Good Repair'!BI18+'Keith State of Good Repair'!BI18</f>
        <v>100000</v>
      </c>
      <c r="BJ18" s="28">
        <f>'VMT Bridge BCA'!BJ18+'VMT Holabird BCA'!BJ18+'Bridge State of Good Repair'!BJ18+'Keith State of Good Repair'!BJ18</f>
        <v>66111.78058186192</v>
      </c>
      <c r="BK18" s="28">
        <f>'VMT Bridge BCA'!BK18+'VMT Holabird BCA'!BK18+'Bridge State of Good Repair'!BK18+'Keith State of Good Repair'!BK18</f>
        <v>38781.72410173249</v>
      </c>
      <c r="BL18" s="28">
        <f>'VMT Bridge BCA'!BL18+'VMT Holabird BCA'!BL18+'Bridge State of Good Repair'!BL18+'Keith State of Good Repair'!BL18</f>
        <v>6000</v>
      </c>
      <c r="BM18" s="28">
        <f>'VMT Bridge BCA'!BM18+'VMT Holabird BCA'!BM18+'Bridge State of Good Repair'!BM18+'Keith State of Good Repair'!BM18</f>
        <v>3966.7068349117153</v>
      </c>
      <c r="BN18" s="28">
        <f>'VMT Bridge BCA'!BN18+'VMT Holabird BCA'!BN18+'Bridge State of Good Repair'!BN18+'Keith State of Good Repair'!BN18</f>
        <v>2326.903446103949</v>
      </c>
      <c r="BO18" s="88">
        <f>'Complete Streets Bio Retention'!$A$21</f>
        <v>15736.62181254302</v>
      </c>
      <c r="BP18" s="97">
        <f t="shared" si="2"/>
        <v>10403.760883705865</v>
      </c>
      <c r="BQ18" s="97">
        <f t="shared" si="3"/>
        <v>6102.933254273489</v>
      </c>
    </row>
    <row r="19" spans="1:69" s="9" customFormat="1" ht="15">
      <c r="A19" s="71">
        <v>2030</v>
      </c>
      <c r="B19" s="98">
        <v>15</v>
      </c>
      <c r="C19" s="220">
        <f>'VMT Bridge BCA'!C19+'VMT Holabird BCA'!C19+'Bridge State of Good Repair'!C19+'Keith State of Good Repair'!C19</f>
        <v>602317</v>
      </c>
      <c r="D19" s="64">
        <f>'VMT Bridge BCA'!D19+'VMT Holabird BCA'!D19+'Bridge State of Good Repair'!D19+'Keith State of Good Repair'!D19</f>
        <v>4964</v>
      </c>
      <c r="E19" s="220">
        <f>'VMT Bridge BCA'!E19+'VMT Holabird BCA'!E19+'Bridge State of Good Repair'!E19+'Keith State of Good Repair'!E19</f>
        <v>6069019.043174736</v>
      </c>
      <c r="F19" s="241">
        <f>'VMT Bridge BCA'!F19+'VMT Holabird BCA'!F19+'Bridge State of Good Repair'!F19+'Keith State of Good Repair'!F19</f>
        <v>5865.922223157893</v>
      </c>
      <c r="G19" s="9">
        <v>0.56</v>
      </c>
      <c r="H19" s="9">
        <v>0.27</v>
      </c>
      <c r="I19" s="9">
        <v>0.01</v>
      </c>
      <c r="J19" s="9">
        <v>0.06</v>
      </c>
      <c r="K19" s="9">
        <v>0.04</v>
      </c>
      <c r="L19" s="9">
        <v>0.001</v>
      </c>
      <c r="M19" s="9">
        <v>0.11</v>
      </c>
      <c r="N19" s="9">
        <v>0.02</v>
      </c>
      <c r="O19" s="9">
        <v>0.02</v>
      </c>
      <c r="P19" s="9">
        <v>0.0009</v>
      </c>
      <c r="Q19" s="91">
        <f>'VMT Bridge BCA'!Q19+'VMT Holabird BCA'!Q19+'Bridge State of Good Repair'!Q19+'Keith State of Good Repair'!Q19</f>
        <v>869455.4911092139</v>
      </c>
      <c r="R19" s="27">
        <f>'VMT Bridge BCA'!R19+'VMT Holabird BCA'!R19+'Bridge State of Good Repair'!R19+'Keith State of Good Repair'!R19</f>
        <v>7.995640326478635</v>
      </c>
      <c r="S19" s="28">
        <f>'VMT Bridge BCA'!S19+'VMT Holabird BCA'!S19+'Bridge State of Good Repair'!S19+'Keith State of Good Repair'!S19</f>
        <v>869463.4867495404</v>
      </c>
      <c r="T19" s="91">
        <f>'VMT Bridge BCA'!T19+'VMT Holabird BCA'!T19+'Bridge State of Good Repair'!T19+'Keith State of Good Repair'!T19</f>
        <v>1521354.5590107837</v>
      </c>
      <c r="U19" s="27">
        <f>'VMT Bridge BCA'!U19+'VMT Holabird BCA'!U19+'Bridge State of Good Repair'!U19+'Keith State of Good Repair'!U19</f>
        <v>615.6643051388548</v>
      </c>
      <c r="V19" s="28">
        <f>'VMT Bridge BCA'!V19+'VMT Holabird BCA'!V19+'Bridge State of Good Repair'!V19+'Keith State of Good Repair'!V19</f>
        <v>1521970.2233159225</v>
      </c>
      <c r="W19" s="91">
        <f>'VMT Bridge BCA'!W19+'VMT Holabird BCA'!W19+'Bridge State of Good Repair'!W19+'Keith State of Good Repair'!W19</f>
        <v>95133.4594823502</v>
      </c>
      <c r="X19" s="27">
        <f>'VMT Bridge BCA'!X19+'VMT Holabird BCA'!X19+'Bridge State of Good Repair'!X19+'Keith State of Good Repair'!X19</f>
        <v>95.14811988509574</v>
      </c>
      <c r="Y19" s="28">
        <f>'VMT Bridge BCA'!Y19+'VMT Holabird BCA'!Y19+'Bridge State of Good Repair'!Y19+'Keith State of Good Repair'!Y19</f>
        <v>95228.6076022353</v>
      </c>
      <c r="Z19" s="91">
        <f>'VMT Bridge BCA'!Z19+'VMT Holabird BCA'!Z19+'Bridge State of Good Repair'!Z19+'Keith State of Good Repair'!Z19</f>
        <v>371434.11571804556</v>
      </c>
      <c r="AA19" s="27">
        <f>'VMT Bridge BCA'!AA19+'VMT Holabird BCA'!AA19+'Bridge State of Good Repair'!AA19+'Keith State of Good Repair'!AA19</f>
        <v>106.34201634216585</v>
      </c>
      <c r="AB19" s="28">
        <f>'VMT Bridge BCA'!AB19+'VMT Holabird BCA'!AB19+'Bridge State of Good Repair'!AB19+'Keith State of Good Repair'!AB19</f>
        <v>371540.4577343877</v>
      </c>
      <c r="AC19" s="91">
        <f>'VMT Bridge BCA'!AC19+'VMT Holabird BCA'!AC19+'Bridge State of Good Repair'!AC19+'Keith State of Good Repair'!AC19</f>
        <v>227501.1222793376</v>
      </c>
      <c r="AD19" s="27">
        <f>'VMT Bridge BCA'!AD19+'VMT Holabird BCA'!AD19+'Bridge State of Good Repair'!AD19+'Keith State of Good Repair'!AD19</f>
        <v>7.196076293830771</v>
      </c>
      <c r="AE19" s="28">
        <f>'VMT Bridge BCA'!AE19+'VMT Holabird BCA'!AE19+'Bridge State of Good Repair'!AE19+'Keith State of Good Repair'!AE19</f>
        <v>227508.31835563143</v>
      </c>
      <c r="AF19" s="20">
        <f>'VMT Bridge BCA'!AF19+'VMT Holabird BCA'!AF19+'Bridge State of Good Repair'!AF19+'Keith State of Good Repair'!AF19</f>
        <v>978874.0392217316</v>
      </c>
      <c r="AG19" s="20">
        <f>'VMT Bridge BCA'!AG19+'VMT Holabird BCA'!AG19+'Bridge State of Good Repair'!AG19+'Keith State of Good Repair'!AG19</f>
        <v>239.42539686358748</v>
      </c>
      <c r="AH19" s="28">
        <f>'VMT Bridge BCA'!AH19+'VMT Holabird BCA'!AH19+'Bridge State of Good Repair'!AH19+'Keith State of Good Repair'!AH19</f>
        <v>2016973.737114306</v>
      </c>
      <c r="AI19" s="28">
        <f>'VMT Bridge BCA'!AI19+'VMT Holabird BCA'!AI19+'Bridge State of Good Repair'!AI19+'Keith State of Good Repair'!AI19</f>
        <v>-238845.26557010252</v>
      </c>
      <c r="AJ19" s="28">
        <f>'VMT Bridge BCA'!AJ19+'VMT Holabird BCA'!AJ19+'Bridge State of Good Repair'!AJ19+'Keith State of Good Repair'!AJ19</f>
        <v>-44.0542730229001</v>
      </c>
      <c r="AK19" s="20">
        <f>'VMT Bridge BCA'!AK19+'VMT Holabird BCA'!AK19+'Bridge State of Good Repair'!AK19+'Keith State of Good Repair'!AK19</f>
        <v>91127120.8904842</v>
      </c>
      <c r="AL19" s="20">
        <f>'VMT Bridge BCA'!AL19+'VMT Holabird BCA'!AL19+'Bridge State of Good Repair'!AL19+'Keith State of Good Repair'!AL19</f>
        <v>6525.613126967573</v>
      </c>
      <c r="AM19" s="212">
        <f>'VMT Bridge BCA'!AM19+'VMT Holabird BCA'!AM19</f>
        <v>70.2</v>
      </c>
      <c r="AN19" s="28">
        <f>'VMT Bridge BCA'!AN19+'VMT Holabird BCA'!AN19+'Bridge State of Good Repair'!AN19+'Keith State of Good Repair'!AN19</f>
        <v>229049.02075656186</v>
      </c>
      <c r="AO19" s="67">
        <f t="shared" si="0"/>
        <v>0.6418619473967176</v>
      </c>
      <c r="AP19" s="28">
        <f>'VMT Bridge BCA'!AP19+'VMT Holabird BCA'!AP19+'Bridge State of Good Repair'!AP19+'Keith State of Good Repair'!AP19</f>
        <v>558075.5267954002</v>
      </c>
      <c r="AQ19" s="28">
        <f>'VMT Bridge BCA'!AQ19+'VMT Holabird BCA'!AQ19+'Bridge State of Good Repair'!AQ19+'Keith State of Good Repair'!AQ19</f>
        <v>976894.7714173753</v>
      </c>
      <c r="AR19" s="28">
        <f>'VMT Bridge BCA'!AR19+'VMT Holabird BCA'!AR19+'Bridge State of Good Repair'!AR19+'Keith State of Good Repair'!AR19</f>
        <v>61123.619523448615</v>
      </c>
      <c r="AS19" s="28">
        <f>'VMT Bridge BCA'!AS19+'VMT Holabird BCA'!AS19+'Bridge State of Good Repair'!AS19+'Keith State of Good Repair'!AS19</f>
        <v>238477.68173806198</v>
      </c>
      <c r="AT19" s="28">
        <f>'VMT Bridge BCA'!AT19+'VMT Holabird BCA'!AT19+'Bridge State of Good Repair'!AT19+'Keith State of Good Repair'!AT19</f>
        <v>146028.932268698</v>
      </c>
      <c r="AU19" s="28">
        <f>'VMT Bridge BCA'!AU19+'VMT Holabird BCA'!AU19+'Bridge State of Good Repair'!AU19+'Keith State of Good Repair'!AU19</f>
        <v>1294618.6907522236</v>
      </c>
      <c r="AV19" s="28">
        <f>'VMT Bridge BCA'!AV19+'VMT Holabird BCA'!AV19+'Bridge State of Good Repair'!AV19+'Keith State of Good Repair'!AV19</f>
        <v>-153305.6872853122</v>
      </c>
      <c r="AW19" s="28">
        <f>'VMT Bridge BCA'!AW19+'VMT Holabird BCA'!AW19+'Bridge State of Good Repair'!AW19+'Keith State of Good Repair'!AW19</f>
        <v>-28.27676147362534</v>
      </c>
      <c r="AX19" s="28">
        <f>'VMT Bridge BCA'!AX19+'VMT Holabird BCA'!AX19+'Bridge State of Good Repair'!AX19+'Keith State of Good Repair'!AX19</f>
        <v>147017.850512118</v>
      </c>
      <c r="AY19" s="67">
        <f t="shared" si="1"/>
        <v>0.3624460196423597</v>
      </c>
      <c r="AZ19" s="28">
        <f>'VMT Bridge BCA'!AZ19+'VMT Holabird BCA'!AZ19+'Bridge State of Good Repair'!AZ19+'Keith State of Good Repair'!AZ19</f>
        <v>315133.57999673847</v>
      </c>
      <c r="BA19" s="28">
        <f>'VMT Bridge BCA'!BA19+'VMT Holabird BCA'!BA19+'Bridge State of Good Repair'!BA19+'Keith State of Good Repair'!BA19</f>
        <v>551632.0494550494</v>
      </c>
      <c r="BB19" s="28">
        <f>'VMT Bridge BCA'!BB19+'VMT Holabird BCA'!BB19+'Bridge State of Good Repair'!BB19+'Keith State of Good Repair'!BB19</f>
        <v>34515.22978151433</v>
      </c>
      <c r="BC19" s="28">
        <f>'VMT Bridge BCA'!BC19+'VMT Holabird BCA'!BC19+'Bridge State of Good Repair'!BC19+'Keith State of Good Repair'!BC19</f>
        <v>134663.36004192918</v>
      </c>
      <c r="BD19" s="28">
        <f>'VMT Bridge BCA'!BD19+'VMT Holabird BCA'!BD19+'Bridge State of Good Repair'!BD19+'Keith State of Good Repair'!BD19</f>
        <v>82459.48442352541</v>
      </c>
      <c r="BE19" s="28">
        <f>'VMT Bridge BCA'!BE19+'VMT Holabird BCA'!BE19+'Bridge State of Good Repair'!BE19+'Keith State of Good Repair'!BE19</f>
        <v>731044.1027402553</v>
      </c>
      <c r="BF19" s="28">
        <f>'VMT Bridge BCA'!BF19+'VMT Holabird BCA'!BF19+'Bridge State of Good Repair'!BF19+'Keith State of Good Repair'!BF19</f>
        <v>-86568.51581630598</v>
      </c>
      <c r="BG19" s="28">
        <f>'VMT Bridge BCA'!BG19+'VMT Holabird BCA'!BG19+'Bridge State of Good Repair'!BG19+'Keith State of Good Repair'!BG19</f>
        <v>-15.967295905387925</v>
      </c>
      <c r="BH19" s="28">
        <f>'VMT Bridge BCA'!BH19+'VMT Holabird BCA'!BH19+'Bridge State of Good Repair'!BH19+'Keith State of Good Repair'!BH19</f>
        <v>83017.90587619606</v>
      </c>
      <c r="BI19" s="28">
        <f>'VMT Bridge BCA'!BI19+'VMT Holabird BCA'!BI19+'Bridge State of Good Repair'!BI19+'Keith State of Good Repair'!BI19</f>
        <v>100000</v>
      </c>
      <c r="BJ19" s="28">
        <f>'VMT Bridge BCA'!BJ19+'VMT Holabird BCA'!BJ19+'Bridge State of Good Repair'!BJ19+'Keith State of Good Repair'!BJ19</f>
        <v>64186.194739671766</v>
      </c>
      <c r="BK19" s="28">
        <f>'VMT Bridge BCA'!BK19+'VMT Holabird BCA'!BK19+'Bridge State of Good Repair'!BK19+'Keith State of Good Repair'!BK19</f>
        <v>36244.60196423597</v>
      </c>
      <c r="BL19" s="28">
        <f>'VMT Bridge BCA'!BL19+'VMT Holabird BCA'!BL19+'Bridge State of Good Repair'!BL19+'Keith State of Good Repair'!BL19</f>
        <v>6000</v>
      </c>
      <c r="BM19" s="28">
        <f>'VMT Bridge BCA'!BM19+'VMT Holabird BCA'!BM19+'Bridge State of Good Repair'!BM19+'Keith State of Good Repair'!BM19</f>
        <v>3851.171684380306</v>
      </c>
      <c r="BN19" s="28">
        <f>'VMT Bridge BCA'!BN19+'VMT Holabird BCA'!BN19+'Bridge State of Good Repair'!BN19+'Keith State of Good Repair'!BN19</f>
        <v>2174.676117854158</v>
      </c>
      <c r="BO19" s="88">
        <f>'Complete Streets Bio Retention'!$A$21</f>
        <v>15736.62181254302</v>
      </c>
      <c r="BP19" s="97">
        <f t="shared" si="2"/>
        <v>10100.738722044527</v>
      </c>
      <c r="BQ19" s="97">
        <f t="shared" si="3"/>
        <v>5703.675938573353</v>
      </c>
    </row>
    <row r="20" spans="1:69" s="9" customFormat="1" ht="15">
      <c r="A20" s="72">
        <v>2031</v>
      </c>
      <c r="B20" s="99">
        <v>16</v>
      </c>
      <c r="C20" s="220">
        <f>'VMT Bridge BCA'!C20+'VMT Holabird BCA'!C20+'Bridge State of Good Repair'!C20+'Keith State of Good Repair'!C20</f>
        <v>608340</v>
      </c>
      <c r="D20" s="64">
        <f>'VMT Bridge BCA'!D20+'VMT Holabird BCA'!D20+'Bridge State of Good Repair'!D20+'Keith State of Good Repair'!D20</f>
        <v>5012</v>
      </c>
      <c r="E20" s="220">
        <f>'VMT Bridge BCA'!E20+'VMT Holabird BCA'!E20+'Bridge State of Good Repair'!E20+'Keith State of Good Repair'!E20</f>
        <v>6129714.731949473</v>
      </c>
      <c r="F20" s="241">
        <f>'VMT Bridge BCA'!F20+'VMT Holabird BCA'!F20+'Bridge State of Good Repair'!F20+'Keith State of Good Repair'!F20</f>
        <v>5922.643469473683</v>
      </c>
      <c r="G20" s="9">
        <v>0.56</v>
      </c>
      <c r="H20" s="9">
        <v>0.27</v>
      </c>
      <c r="I20" s="9">
        <v>0.01</v>
      </c>
      <c r="J20" s="9">
        <v>0.06</v>
      </c>
      <c r="K20" s="9">
        <v>0.04</v>
      </c>
      <c r="L20" s="9">
        <v>0.001</v>
      </c>
      <c r="M20" s="9">
        <v>0.11</v>
      </c>
      <c r="N20" s="9">
        <v>0.02</v>
      </c>
      <c r="O20" s="9">
        <v>0.02</v>
      </c>
      <c r="P20" s="9">
        <v>0.0009</v>
      </c>
      <c r="Q20" s="91">
        <f>'VMT Bridge BCA'!Q20+'VMT Holabird BCA'!Q20+'Bridge State of Good Repair'!Q20+'Keith State of Good Repair'!Q20</f>
        <v>878150.7007455516</v>
      </c>
      <c r="R20" s="27">
        <f>'VMT Bridge BCA'!R20+'VMT Holabird BCA'!R20+'Bridge State of Good Repair'!R20+'Keith State of Good Repair'!R20</f>
        <v>8.072955140272143</v>
      </c>
      <c r="S20" s="28">
        <f>'VMT Bridge BCA'!S20+'VMT Holabird BCA'!S20+'Bridge State of Good Repair'!S20+'Keith State of Good Repair'!S20</f>
        <v>878158.7737006919</v>
      </c>
      <c r="T20" s="91">
        <f>'VMT Bridge BCA'!T20+'VMT Holabird BCA'!T20+'Bridge State of Good Repair'!T20+'Keith State of Good Repair'!T20</f>
        <v>1536569.4755960822</v>
      </c>
      <c r="U20" s="27">
        <f>'VMT Bridge BCA'!U20+'VMT Holabird BCA'!U20+'Bridge State of Good Repair'!U20+'Keith State of Good Repair'!U20</f>
        <v>621.6175458009549</v>
      </c>
      <c r="V20" s="28">
        <f>'VMT Bridge BCA'!V20+'VMT Holabird BCA'!V20+'Bridge State of Good Repair'!V20+'Keith State of Good Repair'!V20</f>
        <v>1537191.093141883</v>
      </c>
      <c r="W20" s="91">
        <f>'VMT Bridge BCA'!W20+'VMT Holabird BCA'!W20+'Bridge State of Good Repair'!W20+'Keith State of Good Repair'!W20</f>
        <v>96084.8802651369</v>
      </c>
      <c r="X20" s="27">
        <f>'VMT Bridge BCA'!X20+'VMT Holabird BCA'!X20+'Bridge State of Good Repair'!X20+'Keith State of Good Repair'!X20</f>
        <v>96.06816616923848</v>
      </c>
      <c r="Y20" s="28">
        <f>'VMT Bridge BCA'!Y20+'VMT Holabird BCA'!Y20+'Bridge State of Good Repair'!Y20+'Keith State of Good Repair'!Y20</f>
        <v>96180.94843130614</v>
      </c>
      <c r="Z20" s="91">
        <f>'VMT Bridge BCA'!Z20+'VMT Holabird BCA'!Z20+'Bridge State of Good Repair'!Z20+'Keith State of Good Repair'!Z20</f>
        <v>375148.7933830128</v>
      </c>
      <c r="AA20" s="27">
        <f>'VMT Bridge BCA'!AA20+'VMT Holabird BCA'!AA20+'Bridge State of Good Repair'!AA20+'Keith State of Good Repair'!AA20</f>
        <v>107.37030336561949</v>
      </c>
      <c r="AB20" s="28">
        <f>'VMT Bridge BCA'!AB20+'VMT Holabird BCA'!AB20+'Bridge State of Good Repair'!AB20+'Keith State of Good Repair'!AB20</f>
        <v>375256.16368637845</v>
      </c>
      <c r="AC20" s="91">
        <f>'VMT Bridge BCA'!AC20+'VMT Holabird BCA'!AC20+'Bridge State of Good Repair'!AC20+'Keith State of Good Repair'!AC20</f>
        <v>229776.33834258423</v>
      </c>
      <c r="AD20" s="27">
        <f>'VMT Bridge BCA'!AD20+'VMT Holabird BCA'!AD20+'Bridge State of Good Repair'!AD20+'Keith State of Good Repair'!AD20</f>
        <v>7.265659626244928</v>
      </c>
      <c r="AE20" s="28">
        <f>'VMT Bridge BCA'!AE20+'VMT Holabird BCA'!AE20+'Bridge State of Good Repair'!AE20+'Keith State of Good Repair'!AE20</f>
        <v>229783.60400221046</v>
      </c>
      <c r="AF20" s="20">
        <f>'VMT Bridge BCA'!AF20+'VMT Holabird BCA'!AF20+'Bridge State of Good Repair'!AF20+'Keith State of Good Repair'!AF20</f>
        <v>988663.6664434633</v>
      </c>
      <c r="AG20" s="20">
        <f>'VMT Bridge BCA'!AG20+'VMT Holabird BCA'!AG20+'Bridge State of Good Repair'!AG20+'Keith State of Good Repair'!AG20</f>
        <v>241.74054977443603</v>
      </c>
      <c r="AH20" s="28">
        <f>'VMT Bridge BCA'!AH20+'VMT Holabird BCA'!AH20+'Bridge State of Good Repair'!AH20+'Keith State of Good Repair'!AH20</f>
        <v>2037145.13840607</v>
      </c>
      <c r="AI20" s="28">
        <f>'VMT Bridge BCA'!AI20+'VMT Holabird BCA'!AI20+'Bridge State of Good Repair'!AI20+'Keith State of Good Repair'!AI20</f>
        <v>-241233.93461220505</v>
      </c>
      <c r="AJ20" s="28">
        <f>'VMT Bridge BCA'!AJ20+'VMT Holabird BCA'!AJ20+'Bridge State of Good Repair'!AJ20+'Keith State of Good Repair'!AJ20</f>
        <v>-44.480261158496226</v>
      </c>
      <c r="AK20" s="20">
        <f>'VMT Bridge BCA'!AK20+'VMT Holabird BCA'!AK20+'Bridge State of Good Repair'!AK20+'Keith State of Good Repair'!AK20</f>
        <v>92038460.21696842</v>
      </c>
      <c r="AL20" s="20">
        <f>'VMT Bridge BCA'!AL20+'VMT Holabird BCA'!AL20+'Bridge State of Good Repair'!AL20+'Keith State of Good Repair'!AL20</f>
        <v>6590.874136137108</v>
      </c>
      <c r="AM20" s="212">
        <f>'VMT Bridge BCA'!AM20+'VMT Holabird BCA'!AM20</f>
        <v>71.34</v>
      </c>
      <c r="AN20" s="28">
        <f>'VMT Bridge BCA'!AN20+'VMT Holabird BCA'!AN20+'Bridge State of Good Repair'!AN20+'Keith State of Good Repair'!AN20</f>
        <v>235096.48043601066</v>
      </c>
      <c r="AO20" s="67">
        <f t="shared" si="0"/>
        <v>0.6231669392201143</v>
      </c>
      <c r="AP20" s="28">
        <f>'VMT Bridge BCA'!AP20+'VMT Holabird BCA'!AP20+'Bridge State of Good Repair'!AP20+'Keith State of Good Repair'!AP20</f>
        <v>547239.5151563493</v>
      </c>
      <c r="AQ20" s="28">
        <f>'VMT Bridge BCA'!AQ20+'VMT Holabird BCA'!AQ20+'Bridge State of Good Repair'!AQ20+'Keith State of Good Repair'!AQ20</f>
        <v>957926.668509649</v>
      </c>
      <c r="AR20" s="28">
        <f>'VMT Bridge BCA'!AR20+'VMT Holabird BCA'!AR20+'Bridge State of Good Repair'!AR20+'Keith State of Good Repair'!AR20</f>
        <v>59936.78724522471</v>
      </c>
      <c r="AS20" s="28">
        <f>'VMT Bridge BCA'!AS20+'VMT Holabird BCA'!AS20+'Bridge State of Good Repair'!AS20+'Keith State of Good Repair'!AS20</f>
        <v>233847.2349479227</v>
      </c>
      <c r="AT20" s="28">
        <f>'VMT Bridge BCA'!AT20+'VMT Holabird BCA'!AT20+'Bridge State of Good Repair'!AT20+'Keith State of Good Repair'!AT20</f>
        <v>143193.5451890243</v>
      </c>
      <c r="AU20" s="28">
        <f>'VMT Bridge BCA'!AU20+'VMT Holabird BCA'!AU20+'Bridge State of Good Repair'!AU20+'Keith State of Good Repair'!AU20</f>
        <v>1269481.5006476468</v>
      </c>
      <c r="AV20" s="28">
        <f>'VMT Bridge BCA'!AV20+'VMT Holabird BCA'!AV20+'Bridge State of Good Repair'!AV20+'Keith State of Good Repair'!AV20</f>
        <v>-150329.01266831305</v>
      </c>
      <c r="AW20" s="28">
        <f>'VMT Bridge BCA'!AW20+'VMT Holabird BCA'!AW20+'Bridge State of Good Repair'!AW20+'Keith State of Good Repair'!AW20</f>
        <v>-27.71862820185143</v>
      </c>
      <c r="AX20" s="28">
        <f>'VMT Bridge BCA'!AX20+'VMT Holabird BCA'!AX20+'Bridge State of Good Repair'!AX20+'Keith State of Good Repair'!AX20</f>
        <v>146504.35413473024</v>
      </c>
      <c r="AY20" s="67">
        <f t="shared" si="1"/>
        <v>0.33873459779659787</v>
      </c>
      <c r="AZ20" s="28">
        <f>'VMT Bridge BCA'!AZ20+'VMT Holabird BCA'!AZ20+'Bridge State of Good Repair'!AZ20+'Keith State of Good Repair'!AZ20</f>
        <v>297462.7590110575</v>
      </c>
      <c r="BA20" s="28">
        <f>'VMT Bridge BCA'!BA20+'VMT Holabird BCA'!BA20+'Bridge State of Good Repair'!BA20+'Keith State of Good Repair'!BA20</f>
        <v>520699.8066719284</v>
      </c>
      <c r="BB20" s="28">
        <f>'VMT Bridge BCA'!BB20+'VMT Holabird BCA'!BB20+'Bridge State of Good Repair'!BB20+'Keith State of Good Repair'!BB20</f>
        <v>32579.814882573806</v>
      </c>
      <c r="BC20" s="28">
        <f>'VMT Bridge BCA'!BC20+'VMT Holabird BCA'!BC20+'Bridge State of Good Repair'!BC20+'Keith State of Good Repair'!BC20</f>
        <v>127112.24567699971</v>
      </c>
      <c r="BD20" s="28">
        <f>'VMT Bridge BCA'!BD20+'VMT Holabird BCA'!BD20+'Bridge State of Good Repair'!BD20+'Keith State of Good Repair'!BD20</f>
        <v>77835.65668194149</v>
      </c>
      <c r="BE20" s="28">
        <f>'VMT Bridge BCA'!BE20+'VMT Holabird BCA'!BE20+'Bridge State of Good Repair'!BE20+'Keith State of Good Repair'!BE20</f>
        <v>690051.5391112748</v>
      </c>
      <c r="BF20" s="28">
        <f>'VMT Bridge BCA'!BF20+'VMT Holabird BCA'!BF20+'Bridge State of Good Repair'!BF20+'Keith State of Good Repair'!BF20</f>
        <v>-81714.27981575606</v>
      </c>
      <c r="BG20" s="28">
        <f>'VMT Bridge BCA'!BG20+'VMT Holabird BCA'!BG20+'Bridge State of Good Repair'!BG20+'Keith State of Good Repair'!BG20</f>
        <v>-15.067003373410854</v>
      </c>
      <c r="BH20" s="28">
        <f>'VMT Bridge BCA'!BH20+'VMT Holabird BCA'!BH20+'Bridge State of Good Repair'!BH20+'Keith State of Good Repair'!BH20</f>
        <v>79635.31174388781</v>
      </c>
      <c r="BI20" s="28">
        <f>'VMT Bridge BCA'!BI20+'VMT Holabird BCA'!BI20+'Bridge State of Good Repair'!BI20+'Keith State of Good Repair'!BI20</f>
        <v>100000</v>
      </c>
      <c r="BJ20" s="28">
        <f>'VMT Bridge BCA'!BJ20+'VMT Holabird BCA'!BJ20+'Bridge State of Good Repair'!BJ20+'Keith State of Good Repair'!BJ20</f>
        <v>62316.69392201144</v>
      </c>
      <c r="BK20" s="28">
        <f>'VMT Bridge BCA'!BK20+'VMT Holabird BCA'!BK20+'Bridge State of Good Repair'!BK20+'Keith State of Good Repair'!BK20</f>
        <v>33873.45977965979</v>
      </c>
      <c r="BL20" s="28">
        <f>'VMT Bridge BCA'!BL20+'VMT Holabird BCA'!BL20+'Bridge State of Good Repair'!BL20+'Keith State of Good Repair'!BL20</f>
        <v>6000</v>
      </c>
      <c r="BM20" s="28">
        <f>'VMT Bridge BCA'!BM20+'VMT Holabird BCA'!BM20+'Bridge State of Good Repair'!BM20+'Keith State of Good Repair'!BM20</f>
        <v>3739.001635320686</v>
      </c>
      <c r="BN20" s="28">
        <f>'VMT Bridge BCA'!BN20+'VMT Holabird BCA'!BN20+'Bridge State of Good Repair'!BN20+'Keith State of Good Repair'!BN20</f>
        <v>2032.4075867795873</v>
      </c>
      <c r="BO20" s="88">
        <f>'Complete Streets Bio Retention'!$A$21</f>
        <v>15736.62181254302</v>
      </c>
      <c r="BP20" s="97">
        <f t="shared" si="2"/>
        <v>9806.542448586923</v>
      </c>
      <c r="BQ20" s="97">
        <f t="shared" si="3"/>
        <v>5330.538260348929</v>
      </c>
    </row>
    <row r="21" spans="1:69" s="9" customFormat="1" ht="15">
      <c r="A21" s="71">
        <v>2032</v>
      </c>
      <c r="B21" s="99">
        <v>17</v>
      </c>
      <c r="C21" s="220">
        <f>'VMT Bridge BCA'!C21+'VMT Holabird BCA'!C21+'Bridge State of Good Repair'!C21+'Keith State of Good Repair'!C21</f>
        <v>614424</v>
      </c>
      <c r="D21" s="64">
        <f>'VMT Bridge BCA'!D21+'VMT Holabird BCA'!D21+'Bridge State of Good Repair'!D21+'Keith State of Good Repair'!D21</f>
        <v>5064</v>
      </c>
      <c r="E21" s="220">
        <f>'VMT Bridge BCA'!E21+'VMT Holabird BCA'!E21+'Bridge State of Good Repair'!E21+'Keith State of Good Repair'!E21</f>
        <v>6191013.282416842</v>
      </c>
      <c r="F21" s="241">
        <f>'VMT Bridge BCA'!F21+'VMT Holabird BCA'!F21+'Bridge State of Good Repair'!F21+'Keith State of Good Repair'!F21</f>
        <v>5984.091486315788</v>
      </c>
      <c r="G21" s="9">
        <v>0.56</v>
      </c>
      <c r="H21" s="9">
        <v>0.27</v>
      </c>
      <c r="I21" s="9">
        <v>0.01</v>
      </c>
      <c r="J21" s="9">
        <v>0.06</v>
      </c>
      <c r="K21" s="9">
        <v>0.04</v>
      </c>
      <c r="L21" s="9">
        <v>0.001</v>
      </c>
      <c r="M21" s="9">
        <v>0.11</v>
      </c>
      <c r="N21" s="9">
        <v>0.02</v>
      </c>
      <c r="O21" s="9">
        <v>0.02</v>
      </c>
      <c r="P21" s="9">
        <v>0.0009</v>
      </c>
      <c r="Q21" s="91">
        <f>'VMT Bridge BCA'!Q21+'VMT Holabird BCA'!Q21+'Bridge State of Good Repair'!Q21+'Keith State of Good Repair'!Q21</f>
        <v>886932.6827841416</v>
      </c>
      <c r="R21" s="27">
        <f>'VMT Bridge BCA'!R21+'VMT Holabird BCA'!R21+'Bridge State of Good Repair'!R21+'Keith State of Good Repair'!R21</f>
        <v>8.15671285521511</v>
      </c>
      <c r="S21" s="28">
        <f>'VMT Bridge BCA'!S21+'VMT Holabird BCA'!S21+'Bridge State of Good Repair'!S21+'Keith State of Good Repair'!S21</f>
        <v>886940.8394969968</v>
      </c>
      <c r="T21" s="91">
        <f>'VMT Bridge BCA'!T21+'VMT Holabird BCA'!T21+'Bridge State of Good Repair'!T21+'Keith State of Good Repair'!T21</f>
        <v>1551935.5371396411</v>
      </c>
      <c r="U21" s="27">
        <f>'VMT Bridge BCA'!U21+'VMT Holabird BCA'!U21+'Bridge State of Good Repair'!U21+'Keith State of Good Repair'!U21</f>
        <v>628.0668898515634</v>
      </c>
      <c r="V21" s="28">
        <f>'VMT Bridge BCA'!V21+'VMT Holabird BCA'!V21+'Bridge State of Good Repair'!V21+'Keith State of Good Repair'!V21</f>
        <v>1552563.6040294927</v>
      </c>
      <c r="W21" s="91">
        <f>'VMT Bridge BCA'!W21+'VMT Holabird BCA'!W21+'Bridge State of Good Repair'!W21+'Keith State of Good Repair'!W21</f>
        <v>97045.75106249787</v>
      </c>
      <c r="X21" s="27">
        <f>'VMT Bridge BCA'!X21+'VMT Holabird BCA'!X21+'Bridge State of Good Repair'!X21+'Keith State of Good Repair'!X21</f>
        <v>97.0648829770598</v>
      </c>
      <c r="Y21" s="28">
        <f>'VMT Bridge BCA'!Y21+'VMT Holabird BCA'!Y21+'Bridge State of Good Repair'!Y21+'Keith State of Good Repair'!Y21</f>
        <v>97142.81594547494</v>
      </c>
      <c r="Z21" s="91">
        <f>'VMT Bridge BCA'!Z21+'VMT Holabird BCA'!Z21+'Bridge State of Good Repair'!Z21+'Keith State of Good Repair'!Z21</f>
        <v>378900.36719183956</v>
      </c>
      <c r="AA21" s="27">
        <f>'VMT Bridge BCA'!AA21+'VMT Holabird BCA'!AA21+'Bridge State of Good Repair'!AA21+'Keith State of Good Repair'!AA21</f>
        <v>108.48428097436096</v>
      </c>
      <c r="AB21" s="28">
        <f>'VMT Bridge BCA'!AB21+'VMT Holabird BCA'!AB21+'Bridge State of Good Repair'!AB21+'Keith State of Good Repair'!AB21</f>
        <v>379008.8514728139</v>
      </c>
      <c r="AC21" s="91">
        <f>'VMT Bridge BCA'!AC21+'VMT Holabird BCA'!AC21+'Bridge State of Good Repair'!AC21+'Keith State of Good Repair'!AC21</f>
        <v>232074.1569378726</v>
      </c>
      <c r="AD21" s="27">
        <f>'VMT Bridge BCA'!AD21+'VMT Holabird BCA'!AD21+'Bridge State of Good Repair'!AD21+'Keith State of Good Repair'!AD21</f>
        <v>7.341041569693599</v>
      </c>
      <c r="AE21" s="28">
        <f>'VMT Bridge BCA'!AE21+'VMT Holabird BCA'!AE21+'Bridge State of Good Repair'!AE21+'Keith State of Good Repair'!AE21</f>
        <v>232081.49797944233</v>
      </c>
      <c r="AF21" s="20">
        <f>'VMT Bridge BCA'!AF21+'VMT Holabird BCA'!AF21+'Bridge State of Good Repair'!AF21+'Keith State of Good Repair'!AF21</f>
        <v>998550.5294220713</v>
      </c>
      <c r="AG21" s="20">
        <f>'VMT Bridge BCA'!AG21+'VMT Holabird BCA'!AG21+'Bridge State of Good Repair'!AG21+'Keith State of Good Repair'!AG21</f>
        <v>244.24863209452195</v>
      </c>
      <c r="AH21" s="28">
        <f>'VMT Bridge BCA'!AH21+'VMT Holabird BCA'!AH21+'Bridge State of Good Repair'!AH21+'Keith State of Good Repair'!AH21</f>
        <v>2057517.2427915817</v>
      </c>
      <c r="AI21" s="28">
        <f>'VMT Bridge BCA'!AI21+'VMT Holabird BCA'!AI21+'Bridge State of Good Repair'!AI21+'Keith State of Good Repair'!AI21</f>
        <v>-243646.32917898538</v>
      </c>
      <c r="AJ21" s="28">
        <f>'VMT Bridge BCA'!AJ21+'VMT Holabird BCA'!AJ21+'Bridge State of Good Repair'!AJ21+'Keith State of Good Repair'!AJ21</f>
        <v>-44.94174830539204</v>
      </c>
      <c r="AK21" s="20">
        <f>'VMT Bridge BCA'!AK21+'VMT Holabird BCA'!AK21+'Bridge State of Good Repair'!AK21+'Keith State of Good Repair'!AK21</f>
        <v>92958895.64501052</v>
      </c>
      <c r="AL21" s="20">
        <f>'VMT Bridge BCA'!AL21+'VMT Holabird BCA'!AL21+'Bridge State of Good Repair'!AL21+'Keith State of Good Repair'!AL21</f>
        <v>6656.786517139203</v>
      </c>
      <c r="AM21" s="212">
        <f>'VMT Bridge BCA'!AM21+'VMT Holabird BCA'!AM21</f>
        <v>72.48</v>
      </c>
      <c r="AN21" s="28">
        <f>'VMT Bridge BCA'!AN21+'VMT Holabird BCA'!AN21+'Bridge State of Good Repair'!AN21+'Keith State of Good Repair'!AN21</f>
        <v>241241.94338112476</v>
      </c>
      <c r="AO21" s="67">
        <f t="shared" si="0"/>
        <v>0.6050164458447712</v>
      </c>
      <c r="AP21" s="28">
        <f>'VMT Bridge BCA'!AP21+'VMT Holabird BCA'!AP21+'Bridge State of Good Repair'!AP21+'Keith State of Good Repair'!AP21</f>
        <v>536613.7943870507</v>
      </c>
      <c r="AQ21" s="28">
        <f>'VMT Bridge BCA'!AQ21+'VMT Holabird BCA'!AQ21+'Bridge State of Good Repair'!AQ21+'Keith State of Good Repair'!AQ21</f>
        <v>939326.5136578723</v>
      </c>
      <c r="AR21" s="28">
        <f>'VMT Bridge BCA'!AR21+'VMT Holabird BCA'!AR21+'Bridge State of Good Repair'!AR21+'Keith State of Good Repair'!AR21</f>
        <v>58773.00124268401</v>
      </c>
      <c r="AS21" s="28">
        <f>'VMT Bridge BCA'!AS21+'VMT Holabird BCA'!AS21+'Bridge State of Good Repair'!AS21+'Keith State of Good Repair'!AS21</f>
        <v>229306.58826179066</v>
      </c>
      <c r="AT21" s="28">
        <f>'VMT Bridge BCA'!AT21+'VMT Holabird BCA'!AT21+'Bridge State of Good Repair'!AT21+'Keith State of Good Repair'!AT21</f>
        <v>140413.12305385264</v>
      </c>
      <c r="AU21" s="28">
        <f>'VMT Bridge BCA'!AU21+'VMT Holabird BCA'!AU21+'Bridge State of Good Repair'!AU21+'Keith State of Good Repair'!AU21</f>
        <v>1244831.7694980958</v>
      </c>
      <c r="AV21" s="28">
        <f>'VMT Bridge BCA'!AV21+'VMT Holabird BCA'!AV21+'Bridge State of Good Repair'!AV21+'Keith State of Good Repair'!AV21</f>
        <v>-147410.0361229949</v>
      </c>
      <c r="AW21" s="28">
        <f>'VMT Bridge BCA'!AW21+'VMT Holabird BCA'!AW21+'Bridge State of Good Repair'!AW21+'Keith State of Good Repair'!AW21</f>
        <v>-27.19049682977856</v>
      </c>
      <c r="AX21" s="28">
        <f>'VMT Bridge BCA'!AX21+'VMT Holabird BCA'!AX21+'Bridge State of Good Repair'!AX21+'Keith State of Good Repair'!AX21</f>
        <v>145955.34317313365</v>
      </c>
      <c r="AY21" s="67">
        <f t="shared" si="1"/>
        <v>0.3165743904641102</v>
      </c>
      <c r="AZ21" s="28">
        <f>'VMT Bridge BCA'!AZ21+'VMT Holabird BCA'!AZ21+'Bridge State of Good Repair'!AZ21+'Keith State of Good Repair'!AZ21</f>
        <v>280782.75564148795</v>
      </c>
      <c r="BA21" s="28">
        <f>'VMT Bridge BCA'!BA21+'VMT Holabird BCA'!BA21+'Bridge State of Good Repair'!BA21+'Keith State of Good Repair'!BA21</f>
        <v>491501.87660239876</v>
      </c>
      <c r="BB21" s="28">
        <f>'VMT Bridge BCA'!BB21+'VMT Holabird BCA'!BB21+'Bridge State of Good Repair'!BB21+'Keith State of Good Repair'!BB21</f>
        <v>30752.92774590597</v>
      </c>
      <c r="BC21" s="28">
        <f>'VMT Bridge BCA'!BC21+'VMT Holabird BCA'!BC21+'Bridge State of Good Repair'!BC21+'Keith State of Good Repair'!BC21</f>
        <v>119984.49613550854</v>
      </c>
      <c r="BD21" s="28">
        <f>'VMT Bridge BCA'!BD21+'VMT Holabird BCA'!BD21+'Bridge State of Good Repair'!BD21+'Keith State of Good Repair'!BD21</f>
        <v>73471.05876083957</v>
      </c>
      <c r="BE21" s="28">
        <f>'VMT Bridge BCA'!BE21+'VMT Holabird BCA'!BE21+'Bridge State of Good Repair'!BE21+'Keith State of Good Repair'!BE21</f>
        <v>651357.2670061415</v>
      </c>
      <c r="BF21" s="28">
        <f>'VMT Bridge BCA'!BF21+'VMT Holabird BCA'!BF21+'Bridge State of Good Repair'!BF21+'Keith State of Good Repair'!BF21</f>
        <v>-77132.18814865524</v>
      </c>
      <c r="BG21" s="28">
        <f>'VMT Bridge BCA'!BG21+'VMT Holabird BCA'!BG21+'Bridge State of Good Repair'!BG21+'Keith State of Good Repair'!BG21</f>
        <v>-14.22740657617094</v>
      </c>
      <c r="BH21" s="28">
        <f>'VMT Bridge BCA'!BH21+'VMT Holabird BCA'!BH21+'Bridge State of Good Repair'!BH21+'Keith State of Good Repair'!BH21</f>
        <v>76371.02118025695</v>
      </c>
      <c r="BI21" s="28">
        <f>'VMT Bridge BCA'!BI21+'VMT Holabird BCA'!BI21+'Bridge State of Good Repair'!BI21+'Keith State of Good Repair'!BI21</f>
        <v>100000</v>
      </c>
      <c r="BJ21" s="28">
        <f>'VMT Bridge BCA'!BJ21+'VMT Holabird BCA'!BJ21+'Bridge State of Good Repair'!BJ21+'Keith State of Good Repair'!BJ21</f>
        <v>60501.64458447712</v>
      </c>
      <c r="BK21" s="28">
        <f>'VMT Bridge BCA'!BK21+'VMT Holabird BCA'!BK21+'Bridge State of Good Repair'!BK21+'Keith State of Good Repair'!BK21</f>
        <v>31657.43904641102</v>
      </c>
      <c r="BL21" s="28">
        <f>'VMT Bridge BCA'!BL21+'VMT Holabird BCA'!BL21+'Bridge State of Good Repair'!BL21+'Keith State of Good Repair'!BL21</f>
        <v>6000</v>
      </c>
      <c r="BM21" s="28">
        <f>'VMT Bridge BCA'!BM21+'VMT Holabird BCA'!BM21+'Bridge State of Good Repair'!BM21+'Keith State of Good Repair'!BM21</f>
        <v>3630.098675068627</v>
      </c>
      <c r="BN21" s="28">
        <f>'VMT Bridge BCA'!BN21+'VMT Holabird BCA'!BN21+'Bridge State of Good Repair'!BN21+'Keith State of Good Repair'!BN21</f>
        <v>1899.446342784661</v>
      </c>
      <c r="BO21" s="88">
        <f>'Complete Streets Bio Retention'!$A$21</f>
        <v>15736.62181254302</v>
      </c>
      <c r="BP21" s="97">
        <f t="shared" si="2"/>
        <v>9520.914998628079</v>
      </c>
      <c r="BQ21" s="97">
        <f t="shared" si="3"/>
        <v>4981.811458270027</v>
      </c>
    </row>
    <row r="22" spans="1:69" s="9" customFormat="1" ht="15">
      <c r="A22" s="72">
        <v>2033</v>
      </c>
      <c r="B22" s="98">
        <v>18</v>
      </c>
      <c r="C22" s="220">
        <f>'VMT Bridge BCA'!C22+'VMT Holabird BCA'!C22+'Bridge State of Good Repair'!C22+'Keith State of Good Repair'!C22</f>
        <v>620568</v>
      </c>
      <c r="D22" s="64">
        <f>'VMT Bridge BCA'!D22+'VMT Holabird BCA'!D22+'Bridge State of Good Repair'!D22+'Keith State of Good Repair'!D22</f>
        <v>5113</v>
      </c>
      <c r="E22" s="220">
        <f>'VMT Bridge BCA'!E22+'VMT Holabird BCA'!E22+'Bridge State of Good Repair'!E22+'Keith State of Good Repair'!E22</f>
        <v>6252922.721191579</v>
      </c>
      <c r="F22" s="241">
        <f>'VMT Bridge BCA'!F22+'VMT Holabird BCA'!F22+'Bridge State of Good Repair'!F22+'Keith State of Good Repair'!F22</f>
        <v>6041.994425263157</v>
      </c>
      <c r="G22" s="9">
        <v>0.56</v>
      </c>
      <c r="H22" s="9">
        <v>0.27</v>
      </c>
      <c r="I22" s="9">
        <v>0.01</v>
      </c>
      <c r="J22" s="9">
        <v>0.06</v>
      </c>
      <c r="K22" s="9">
        <v>0.04</v>
      </c>
      <c r="L22" s="9">
        <v>0.001</v>
      </c>
      <c r="M22" s="9">
        <v>0.11</v>
      </c>
      <c r="N22" s="9">
        <v>0.02</v>
      </c>
      <c r="O22" s="9">
        <v>0.02</v>
      </c>
      <c r="P22" s="9">
        <v>0.0009</v>
      </c>
      <c r="Q22" s="91">
        <f>'VMT Bridge BCA'!Q22+'VMT Holabird BCA'!Q22+'Bridge State of Good Repair'!Q22+'Keith State of Good Repair'!Q22</f>
        <v>895801.606688772</v>
      </c>
      <c r="R22" s="27">
        <f>'VMT Bridge BCA'!R22+'VMT Holabird BCA'!R22+'Bridge State of Good Repair'!R22+'Keith State of Good Repair'!R22</f>
        <v>8.235638394295984</v>
      </c>
      <c r="S22" s="28">
        <f>'VMT Bridge BCA'!S22+'VMT Holabird BCA'!S22+'Bridge State of Good Repair'!S22+'Keith State of Good Repair'!S22</f>
        <v>895809.8423271662</v>
      </c>
      <c r="T22" s="91">
        <f>'VMT Bridge BCA'!T22+'VMT Holabird BCA'!T22+'Bridge State of Good Repair'!T22+'Keith State of Good Repair'!T22</f>
        <v>1567454.701857692</v>
      </c>
      <c r="U22" s="27">
        <f>'VMT Bridge BCA'!U22+'VMT Holabird BCA'!U22+'Bridge State of Good Repair'!U22+'Keith State of Good Repair'!U22</f>
        <v>634.1441563607906</v>
      </c>
      <c r="V22" s="28">
        <f>'VMT Bridge BCA'!V22+'VMT Holabird BCA'!V22+'Bridge State of Good Repair'!V22+'Keith State of Good Repair'!V22</f>
        <v>1568088.8460140529</v>
      </c>
      <c r="W22" s="91">
        <f>'VMT Bridge BCA'!W22+'VMT Holabird BCA'!W22+'Bridge State of Good Repair'!W22+'Keith State of Good Repair'!W22</f>
        <v>98016.19769371665</v>
      </c>
      <c r="X22" s="27">
        <f>'VMT Bridge BCA'!X22+'VMT Holabird BCA'!X22+'Bridge State of Good Repair'!X22+'Keith State of Good Repair'!X22</f>
        <v>98.00409689212219</v>
      </c>
      <c r="Y22" s="28">
        <f>'VMT Bridge BCA'!Y22+'VMT Holabird BCA'!Y22+'Bridge State of Good Repair'!Y22+'Keith State of Good Repair'!Y22</f>
        <v>98114.20179060877</v>
      </c>
      <c r="Z22" s="91">
        <f>'VMT Bridge BCA'!Z22+'VMT Holabird BCA'!Z22+'Bridge State of Good Repair'!Z22+'Keith State of Good Repair'!Z22</f>
        <v>382689.3283867719</v>
      </c>
      <c r="AA22" s="27">
        <f>'VMT Bridge BCA'!AA22+'VMT Holabird BCA'!AA22+'Bridge State of Good Repair'!AA22+'Keith State of Good Repair'!AA22</f>
        <v>109.53399064413658</v>
      </c>
      <c r="AB22" s="28">
        <f>'VMT Bridge BCA'!AB22+'VMT Holabird BCA'!AB22+'Bridge State of Good Repair'!AB22+'Keith State of Good Repair'!AB22</f>
        <v>382798.86237741605</v>
      </c>
      <c r="AC22" s="91">
        <f>'VMT Bridge BCA'!AC22+'VMT Holabird BCA'!AC22+'Bridge State of Good Repair'!AC22+'Keith State of Good Repair'!AC22</f>
        <v>234394.86959519592</v>
      </c>
      <c r="AD22" s="27">
        <f>'VMT Bridge BCA'!AD22+'VMT Holabird BCA'!AD22+'Bridge State of Good Repair'!AD22+'Keith State of Good Repair'!AD22</f>
        <v>7.4120745548663844</v>
      </c>
      <c r="AE22" s="28">
        <f>'VMT Bridge BCA'!AE22+'VMT Holabird BCA'!AE22+'Bridge State of Good Repair'!AE22+'Keith State of Good Repair'!AE22</f>
        <v>234402.28166975078</v>
      </c>
      <c r="AF22" s="20">
        <f>'VMT Bridge BCA'!AF22+'VMT Holabird BCA'!AF22+'Bridge State of Good Repair'!AF22+'Keith State of Good Repair'!AF22</f>
        <v>1008535.9227728352</v>
      </c>
      <c r="AG22" s="20">
        <f>'VMT Bridge BCA'!AG22+'VMT Holabird BCA'!AG22+'Bridge State of Good Repair'!AG22+'Keith State of Good Repair'!AG22</f>
        <v>246.61201735767986</v>
      </c>
      <c r="AH22" s="28">
        <f>'VMT Bridge BCA'!AH22+'VMT Holabird BCA'!AH22+'Bridge State of Good Repair'!AH22+'Keith State of Good Repair'!AH22</f>
        <v>2078092.0216677976</v>
      </c>
      <c r="AI22" s="28">
        <f>'VMT Bridge BCA'!AI22+'VMT Holabird BCA'!AI22+'Bridge State of Good Repair'!AI22+'Keith State of Good Repair'!AI22</f>
        <v>-246082.76515657178</v>
      </c>
      <c r="AJ22" s="28">
        <f>'VMT Bridge BCA'!AJ22+'VMT Holabird BCA'!AJ22+'Bridge State of Good Repair'!AJ22+'Keith State of Good Repair'!AJ22</f>
        <v>-45.37661119381309</v>
      </c>
      <c r="AK22" s="20">
        <f>'VMT Bridge BCA'!AK22+'VMT Holabird BCA'!AK22+'Bridge State of Good Repair'!AK22+'Keith State of Good Repair'!AK22</f>
        <v>93888441.22149472</v>
      </c>
      <c r="AL22" s="20">
        <f>'VMT Bridge BCA'!AL22+'VMT Holabird BCA'!AL22+'Bridge State of Good Repair'!AL22+'Keith State of Good Repair'!AL22</f>
        <v>6723.351275871237</v>
      </c>
      <c r="AM22" s="212">
        <f>'VMT Bridge BCA'!AM22+'VMT Holabird BCA'!AM22</f>
        <v>73.62</v>
      </c>
      <c r="AN22" s="28">
        <f>'VMT Bridge BCA'!AN22+'VMT Holabird BCA'!AN22+'Bridge State of Good Repair'!AN22+'Keith State of Good Repair'!AN22</f>
        <v>247486.56046482024</v>
      </c>
      <c r="AO22" s="67">
        <f t="shared" si="0"/>
        <v>0.5873946076162827</v>
      </c>
      <c r="AP22" s="28">
        <f>'VMT Bridge BCA'!AP22+'VMT Holabird BCA'!AP22+'Bridge State of Good Repair'!AP22+'Keith State of Good Repair'!AP22</f>
        <v>526193.8708325699</v>
      </c>
      <c r="AQ22" s="28">
        <f>'VMT Bridge BCA'!AQ22+'VMT Holabird BCA'!AQ22+'Bridge State of Good Repair'!AQ22+'Keith State of Good Repair'!AQ22</f>
        <v>921086.9324118941</v>
      </c>
      <c r="AR22" s="28">
        <f>'VMT Bridge BCA'!AR22+'VMT Holabird BCA'!AR22+'Bridge State of Good Repair'!AR22+'Keith State of Good Repair'!AR22</f>
        <v>57631.75306237942</v>
      </c>
      <c r="AS22" s="28">
        <f>'VMT Bridge BCA'!AS22+'VMT Holabird BCA'!AS22+'Bridge State of Good Repair'!AS22+'Keith State of Good Repair'!AS22</f>
        <v>224853.98756214173</v>
      </c>
      <c r="AT22" s="28">
        <f>'VMT Bridge BCA'!AT22+'VMT Holabird BCA'!AT22+'Bridge State of Good Repair'!AT22+'Keith State of Good Repair'!AT22</f>
        <v>137686.63626576465</v>
      </c>
      <c r="AU22" s="28">
        <f>'VMT Bridge BCA'!AU22+'VMT Holabird BCA'!AU22+'Bridge State of Good Repair'!AU22+'Keith State of Good Repair'!AU22</f>
        <v>1220660.0476580835</v>
      </c>
      <c r="AV22" s="28">
        <f>'VMT Bridge BCA'!AV22+'VMT Holabird BCA'!AV22+'Bridge State of Good Repair'!AV22+'Keith State of Good Repair'!AV22</f>
        <v>-144547.68928027432</v>
      </c>
      <c r="AW22" s="28">
        <f>'VMT Bridge BCA'!AW22+'VMT Holabird BCA'!AW22+'Bridge State of Good Repair'!AW22+'Keith State of Good Repair'!AW22</f>
        <v>-26.65397672714646</v>
      </c>
      <c r="AX22" s="28">
        <f>'VMT Bridge BCA'!AX22+'VMT Holabird BCA'!AX22+'Bridge State of Good Repair'!AX22+'Keith State of Good Repair'!AX22</f>
        <v>145372.27107453652</v>
      </c>
      <c r="AY22" s="67">
        <f t="shared" si="1"/>
        <v>0.29586391632159825</v>
      </c>
      <c r="AZ22" s="28">
        <f>'VMT Bridge BCA'!AZ22+'VMT Holabird BCA'!AZ22+'Bridge State of Good Repair'!AZ22+'Keith State of Good Repair'!AZ22</f>
        <v>265037.80823034886</v>
      </c>
      <c r="BA22" s="28">
        <f>'VMT Bridge BCA'!BA22+'VMT Holabird BCA'!BA22+'Bridge State of Good Repair'!BA22+'Keith State of Good Repair'!BA22</f>
        <v>463940.9071219333</v>
      </c>
      <c r="BB22" s="28">
        <f>'VMT Bridge BCA'!BB22+'VMT Holabird BCA'!BB22+'Bridge State of Good Repair'!BB22+'Keith State of Good Repair'!BB22</f>
        <v>29028.45198853708</v>
      </c>
      <c r="BC22" s="28">
        <f>'VMT Bridge BCA'!BC22+'VMT Holabird BCA'!BC22+'Bridge State of Good Repair'!BC22+'Keith State of Good Repair'!BC22</f>
        <v>113256.37058643483</v>
      </c>
      <c r="BD22" s="28">
        <f>'VMT Bridge BCA'!BD22+'VMT Holabird BCA'!BD22+'Bridge State of Good Repair'!BD22+'Keith State of Good Repair'!BD22</f>
        <v>69351.17704953086</v>
      </c>
      <c r="BE22" s="28">
        <f>'VMT Bridge BCA'!BE22+'VMT Holabird BCA'!BE22+'Bridge State of Good Repair'!BE22+'Keith State of Good Repair'!BE22</f>
        <v>614832.4440073023</v>
      </c>
      <c r="BF22" s="28">
        <f>'VMT Bridge BCA'!BF22+'VMT Holabird BCA'!BF22+'Bridge State of Good Repair'!BF22+'Keith State of Good Repair'!BF22</f>
        <v>-72807.01063847147</v>
      </c>
      <c r="BG22" s="28">
        <f>'VMT Bridge BCA'!BG22+'VMT Holabird BCA'!BG22+'Bridge State of Good Repair'!BG22+'Keith State of Good Repair'!BG22</f>
        <v>-13.425301897204015</v>
      </c>
      <c r="BH22" s="28">
        <f>'VMT Bridge BCA'!BH22+'VMT Holabird BCA'!BH22+'Bridge State of Good Repair'!BH22+'Keith State of Good Repair'!BH22</f>
        <v>73222.34301608375</v>
      </c>
      <c r="BI22" s="28">
        <f>'VMT Bridge BCA'!BI22+'VMT Holabird BCA'!BI22+'Bridge State of Good Repair'!BI22+'Keith State of Good Repair'!BI22</f>
        <v>100000</v>
      </c>
      <c r="BJ22" s="28">
        <f>'VMT Bridge BCA'!BJ22+'VMT Holabird BCA'!BJ22+'Bridge State of Good Repair'!BJ22+'Keith State of Good Repair'!BJ22</f>
        <v>58739.460761628274</v>
      </c>
      <c r="BK22" s="28">
        <f>'VMT Bridge BCA'!BK22+'VMT Holabird BCA'!BK22+'Bridge State of Good Repair'!BK22+'Keith State of Good Repair'!BK22</f>
        <v>29586.391632159826</v>
      </c>
      <c r="BL22" s="28">
        <f>'VMT Bridge BCA'!BL22+'VMT Holabird BCA'!BL22+'Bridge State of Good Repair'!BL22+'Keith State of Good Repair'!BL22</f>
        <v>6000</v>
      </c>
      <c r="BM22" s="28">
        <f>'VMT Bridge BCA'!BM22+'VMT Holabird BCA'!BM22+'Bridge State of Good Repair'!BM22+'Keith State of Good Repair'!BM22</f>
        <v>3524.3676456976964</v>
      </c>
      <c r="BN22" s="28">
        <f>'VMT Bridge BCA'!BN22+'VMT Holabird BCA'!BN22+'Bridge State of Good Repair'!BN22+'Keith State of Good Repair'!BN22</f>
        <v>1775.1834979295895</v>
      </c>
      <c r="BO22" s="88">
        <f>'Complete Streets Bio Retention'!$A$21</f>
        <v>15736.62181254302</v>
      </c>
      <c r="BP22" s="97">
        <f t="shared" si="2"/>
        <v>9243.606794784542</v>
      </c>
      <c r="BQ22" s="97">
        <f t="shared" si="3"/>
        <v>4655.8985591308665</v>
      </c>
    </row>
    <row r="23" spans="1:69" s="9" customFormat="1" ht="15">
      <c r="A23" s="71">
        <v>2034</v>
      </c>
      <c r="B23" s="99">
        <v>19</v>
      </c>
      <c r="C23" s="220">
        <f>'VMT Bridge BCA'!C23+'VMT Holabird BCA'!C23+'Bridge State of Good Repair'!C23+'Keith State of Good Repair'!C23</f>
        <v>626773</v>
      </c>
      <c r="D23" s="64">
        <f>'VMT Bridge BCA'!D23+'VMT Holabird BCA'!D23+'Bridge State of Good Repair'!D23+'Keith State of Good Repair'!D23</f>
        <v>5165</v>
      </c>
      <c r="E23" s="220">
        <f>'VMT Bridge BCA'!E23+'VMT Holabird BCA'!E23+'Bridge State of Good Repair'!E23+'Keith State of Good Repair'!E23</f>
        <v>6315445.881658947</v>
      </c>
      <c r="F23" s="241">
        <f>'VMT Bridge BCA'!F23+'VMT Holabird BCA'!F23+'Bridge State of Good Repair'!F23+'Keith State of Good Repair'!F23</f>
        <v>6103.442442105262</v>
      </c>
      <c r="G23" s="9">
        <v>0.56</v>
      </c>
      <c r="H23" s="9">
        <v>0.27</v>
      </c>
      <c r="I23" s="9">
        <v>0.01</v>
      </c>
      <c r="J23" s="9">
        <v>0.06</v>
      </c>
      <c r="K23" s="9">
        <v>0.04</v>
      </c>
      <c r="L23" s="9">
        <v>0.001</v>
      </c>
      <c r="M23" s="9">
        <v>0.11</v>
      </c>
      <c r="N23" s="9">
        <v>0.02</v>
      </c>
      <c r="O23" s="9">
        <v>0.02</v>
      </c>
      <c r="P23" s="9">
        <v>0.0009</v>
      </c>
      <c r="Q23" s="91">
        <f>'VMT Bridge BCA'!Q23+'VMT Holabird BCA'!Q23+'Bridge State of Good Repair'!Q23+'Keith State of Good Repair'!Q23</f>
        <v>904758.8573000447</v>
      </c>
      <c r="R23" s="27">
        <f>'VMT Bridge BCA'!R23+'VMT Holabird BCA'!R23+'Bridge State of Good Repair'!R23+'Keith State of Good Repair'!R23</f>
        <v>8.31939610923895</v>
      </c>
      <c r="S23" s="28">
        <f>'VMT Bridge BCA'!S23+'VMT Holabird BCA'!S23+'Bridge State of Good Repair'!S23+'Keith State of Good Repair'!S23</f>
        <v>904767.176696154</v>
      </c>
      <c r="T23" s="91">
        <f>'VMT Bridge BCA'!T23+'VMT Holabird BCA'!T23+'Bridge State of Good Repair'!T23+'Keith State of Good Repair'!T23</f>
        <v>1583127.7337871213</v>
      </c>
      <c r="U23" s="27">
        <f>'VMT Bridge BCA'!U23+'VMT Holabird BCA'!U23+'Bridge State of Good Repair'!U23+'Keith State of Good Repair'!U23</f>
        <v>640.5935004113991</v>
      </c>
      <c r="V23" s="28">
        <f>'VMT Bridge BCA'!V23+'VMT Holabird BCA'!V23+'Bridge State of Good Repair'!V23+'Keith State of Good Repair'!V23</f>
        <v>1583768.3272875326</v>
      </c>
      <c r="W23" s="91">
        <f>'VMT Bridge BCA'!W23+'VMT Holabird BCA'!W23+'Bridge State of Good Repair'!W23+'Keith State of Good Repair'!W23</f>
        <v>98996.26457284763</v>
      </c>
      <c r="X23" s="27">
        <f>'VMT Bridge BCA'!X23+'VMT Holabird BCA'!X23+'Bridge State of Good Repair'!X23+'Keith State of Good Repair'!X23</f>
        <v>99.00081369994349</v>
      </c>
      <c r="Y23" s="28">
        <f>'VMT Bridge BCA'!Y23+'VMT Holabird BCA'!Y23+'Bridge State of Good Repair'!Y23+'Keith State of Good Repair'!Y23</f>
        <v>99095.26538654759</v>
      </c>
      <c r="Z23" s="91">
        <f>'VMT Bridge BCA'!Z23+'VMT Holabird BCA'!Z23+'Bridge State of Good Repair'!Z23+'Keith State of Good Repair'!Z23</f>
        <v>386515.8503757269</v>
      </c>
      <c r="AA23" s="27">
        <f>'VMT Bridge BCA'!AA23+'VMT Holabird BCA'!AA23+'Bridge State of Good Repair'!AA23+'Keith State of Good Repair'!AA23</f>
        <v>110.64796825287804</v>
      </c>
      <c r="AB23" s="28">
        <f>'VMT Bridge BCA'!AB23+'VMT Holabird BCA'!AB23+'Bridge State of Good Repair'!AB23+'Keith State of Good Repair'!AB23</f>
        <v>386626.49834397977</v>
      </c>
      <c r="AC23" s="91">
        <f>'VMT Bridge BCA'!AC23+'VMT Holabird BCA'!AC23+'Bridge State of Good Repair'!AC23+'Keith State of Good Repair'!AC23</f>
        <v>236738.5918642822</v>
      </c>
      <c r="AD23" s="27">
        <f>'VMT Bridge BCA'!AD23+'VMT Holabird BCA'!AD23+'Bridge State of Good Repair'!AD23+'Keith State of Good Repair'!AD23</f>
        <v>7.487456498315055</v>
      </c>
      <c r="AE23" s="28">
        <f>'VMT Bridge BCA'!AE23+'VMT Holabird BCA'!AE23+'Bridge State of Good Repair'!AE23+'Keith State of Good Repair'!AE23</f>
        <v>236746.07932078053</v>
      </c>
      <c r="AF23" s="20">
        <f>'VMT Bridge BCA'!AF23+'VMT Holabird BCA'!AF23+'Bridge State of Good Repair'!AF23+'Keith State of Good Repair'!AF23</f>
        <v>1018620.3034933785</v>
      </c>
      <c r="AG23" s="20">
        <f>'VMT Bridge BCA'!AG23+'VMT Holabird BCA'!AG23+'Bridge State of Good Repair'!AG23+'Keith State of Good Repair'!AG23</f>
        <v>249.12009967776578</v>
      </c>
      <c r="AH23" s="28">
        <f>'VMT Bridge BCA'!AH23+'VMT Holabird BCA'!AH23+'Bridge State of Good Repair'!AH23+'Keith State of Good Repair'!AH23</f>
        <v>2098871.012601696</v>
      </c>
      <c r="AI23" s="28">
        <f>'VMT Bridge BCA'!AI23+'VMT Holabird BCA'!AI23+'Bridge State of Good Repair'!AI23+'Keith State of Good Repair'!AI23</f>
        <v>-248543.35405238433</v>
      </c>
      <c r="AJ23" s="28">
        <f>'VMT Bridge BCA'!AJ23+'VMT Holabird BCA'!AJ23+'Bridge State of Good Repair'!AJ23+'Keith State of Good Repair'!AJ23</f>
        <v>-45.8380983407089</v>
      </c>
      <c r="AK23" s="20">
        <f>'VMT Bridge BCA'!AK23+'VMT Holabird BCA'!AK23+'Bridge State of Good Repair'!AK23+'Keith State of Good Repair'!AK23</f>
        <v>94827245.79953682</v>
      </c>
      <c r="AL23" s="20">
        <f>'VMT Bridge BCA'!AL23+'VMT Holabird BCA'!AL23+'Bridge State of Good Repair'!AL23+'Keith State of Good Repair'!AL23</f>
        <v>6790.579071704832</v>
      </c>
      <c r="AM23" s="212">
        <f>'VMT Bridge BCA'!AM23+'VMT Holabird BCA'!AM23</f>
        <v>74.76</v>
      </c>
      <c r="AN23" s="28">
        <f>'VMT Bridge BCA'!AN23+'VMT Holabird BCA'!AN23+'Bridge State of Good Repair'!AN23+'Keith State of Good Repair'!AN23</f>
        <v>253831.84570032664</v>
      </c>
      <c r="AO23" s="67">
        <f t="shared" si="0"/>
        <v>0.570286026811925</v>
      </c>
      <c r="AP23" s="28">
        <f>'VMT Bridge BCA'!AP23+'VMT Holabird BCA'!AP23+'Bridge State of Good Repair'!AP23+'Keith State of Good Repair'!AP23</f>
        <v>515976.0783878925</v>
      </c>
      <c r="AQ23" s="28">
        <f>'VMT Bridge BCA'!AQ23+'VMT Holabird BCA'!AQ23+'Bridge State of Good Repair'!AQ23+'Keith State of Good Repair'!AQ23</f>
        <v>903200.9467593754</v>
      </c>
      <c r="AR23" s="28">
        <f>'VMT Bridge BCA'!AR23+'VMT Holabird BCA'!AR23+'Bridge State of Good Repair'!AR23+'Keith State of Good Repair'!AR23</f>
        <v>56512.64517316749</v>
      </c>
      <c r="AS23" s="28">
        <f>'VMT Bridge BCA'!AS23+'VMT Holabird BCA'!AS23+'Bridge State of Good Repair'!AS23+'Keith State of Good Repair'!AS23</f>
        <v>220487.6896007955</v>
      </c>
      <c r="AT23" s="28">
        <f>'VMT Bridge BCA'!AT23+'VMT Holabird BCA'!AT23+'Bridge State of Good Repair'!AT23+'Keith State of Good Repair'!AT23</f>
        <v>135012.98093914875</v>
      </c>
      <c r="AU23" s="28">
        <f>'VMT Bridge BCA'!AU23+'VMT Holabird BCA'!AU23+'Bridge State of Good Repair'!AU23+'Keith State of Good Repair'!AU23</f>
        <v>1196956.810567343</v>
      </c>
      <c r="AV23" s="28">
        <f>'VMT Bridge BCA'!AV23+'VMT Holabird BCA'!AV23+'Bridge State of Good Repair'!AV23+'Keith State of Good Repair'!AV23</f>
        <v>-141740.80187304382</v>
      </c>
      <c r="AW23" s="28">
        <f>'VMT Bridge BCA'!AW23+'VMT Holabird BCA'!AW23+'Bridge State of Good Repair'!AW23+'Keith State of Good Repair'!AW23</f>
        <v>-26.14082697933717</v>
      </c>
      <c r="AX23" s="28">
        <f>'VMT Bridge BCA'!AX23+'VMT Holabird BCA'!AX23+'Bridge State of Good Repair'!AX23+'Keith State of Good Repair'!AX23</f>
        <v>144756.7547627769</v>
      </c>
      <c r="AY23" s="67">
        <f t="shared" si="1"/>
        <v>0.2765083330108395</v>
      </c>
      <c r="AZ23" s="28">
        <f>'VMT Bridge BCA'!AZ23+'VMT Holabird BCA'!AZ23+'Bridge State of Good Repair'!AZ23+'Keith State of Good Repair'!AZ23</f>
        <v>250175.6637911772</v>
      </c>
      <c r="BA23" s="28">
        <f>'VMT Bridge BCA'!BA23+'VMT Holabird BCA'!BA23+'Bridge State of Good Repair'!BA23+'Keith State of Good Repair'!BA23</f>
        <v>437925.14005364134</v>
      </c>
      <c r="BB23" s="28">
        <f>'VMT Bridge BCA'!BB23+'VMT Holabird BCA'!BB23+'Bridge State of Good Repair'!BB23+'Keith State of Good Repair'!BB23</f>
        <v>27400.666641301017</v>
      </c>
      <c r="BC23" s="28">
        <f>'VMT Bridge BCA'!BC23+'VMT Holabird BCA'!BC23+'Bridge State of Good Repair'!BC23+'Keith State of Good Repair'!BC23</f>
        <v>106905.44855491194</v>
      </c>
      <c r="BD23" s="28">
        <f>'VMT Bridge BCA'!BD23+'VMT Holabird BCA'!BD23+'Bridge State of Good Repair'!BD23+'Keith State of Good Repair'!BD23</f>
        <v>65462.263739841</v>
      </c>
      <c r="BE23" s="28">
        <f>'VMT Bridge BCA'!BE23+'VMT Holabird BCA'!BE23+'Bridge State of Good Repair'!BE23+'Keith State of Good Repair'!BE23</f>
        <v>580355.3248992676</v>
      </c>
      <c r="BF23" s="28">
        <f>'VMT Bridge BCA'!BF23+'VMT Holabird BCA'!BF23+'Bridge State of Good Repair'!BF23+'Keith State of Good Repair'!BF23</f>
        <v>-68724.30850994767</v>
      </c>
      <c r="BG23" s="28">
        <f>'VMT Bridge BCA'!BG23+'VMT Holabird BCA'!BG23+'Bridge State of Good Repair'!BG23+'Keith State of Good Repair'!BG23</f>
        <v>-12.674616160576347</v>
      </c>
      <c r="BH23" s="28">
        <f>'VMT Bridge BCA'!BH23+'VMT Holabird BCA'!BH23+'Bridge State of Good Repair'!BH23+'Keith State of Good Repair'!BH23</f>
        <v>70186.62051966196</v>
      </c>
      <c r="BI23" s="28">
        <f>'VMT Bridge BCA'!BI23+'VMT Holabird BCA'!BI23+'Bridge State of Good Repair'!BI23+'Keith State of Good Repair'!BI23</f>
        <v>100000</v>
      </c>
      <c r="BJ23" s="28">
        <f>'VMT Bridge BCA'!BJ23+'VMT Holabird BCA'!BJ23+'Bridge State of Good Repair'!BJ23+'Keith State of Good Repair'!BJ23</f>
        <v>57028.6026811925</v>
      </c>
      <c r="BK23" s="28">
        <f>'VMT Bridge BCA'!BK23+'VMT Holabird BCA'!BK23+'Bridge State of Good Repair'!BK23+'Keith State of Good Repair'!BK23</f>
        <v>27650.83330108395</v>
      </c>
      <c r="BL23" s="28">
        <f>'VMT Bridge BCA'!BL23+'VMT Holabird BCA'!BL23+'Bridge State of Good Repair'!BL23+'Keith State of Good Repair'!BL23</f>
        <v>6000</v>
      </c>
      <c r="BM23" s="28">
        <f>'VMT Bridge BCA'!BM23+'VMT Holabird BCA'!BM23+'Bridge State of Good Repair'!BM23+'Keith State of Good Repair'!BM23</f>
        <v>3421.7161608715496</v>
      </c>
      <c r="BN23" s="28">
        <f>'VMT Bridge BCA'!BN23+'VMT Holabird BCA'!BN23+'Bridge State of Good Repair'!BN23+'Keith State of Good Repair'!BN23</f>
        <v>1659.049998065037</v>
      </c>
      <c r="BO23" s="88">
        <f>'Complete Streets Bio Retention'!$A$21</f>
        <v>15736.62181254302</v>
      </c>
      <c r="BP23" s="97">
        <f t="shared" si="2"/>
        <v>8974.375528917033</v>
      </c>
      <c r="BQ23" s="97">
        <f t="shared" si="3"/>
        <v>4351.307064608286</v>
      </c>
    </row>
    <row r="24" spans="1:69" s="9" customFormat="1" ht="15">
      <c r="A24" s="72">
        <v>2035</v>
      </c>
      <c r="B24" s="99">
        <v>20</v>
      </c>
      <c r="C24" s="220">
        <f>'VMT Bridge BCA'!C24+'VMT Holabird BCA'!C24+'Bridge State of Good Repair'!C24+'Keith State of Good Repair'!C24</f>
        <v>633041</v>
      </c>
      <c r="D24" s="64">
        <f>'VMT Bridge BCA'!D24+'VMT Holabird BCA'!D24+'Bridge State of Good Repair'!D24+'Keith State of Good Repair'!D24</f>
        <v>5217</v>
      </c>
      <c r="E24" s="220">
        <f>'VMT Bridge BCA'!E24+'VMT Holabird BCA'!E24+'Bridge State of Good Repair'!E24+'Keith State of Good Repair'!E24</f>
        <v>6378601.892126315</v>
      </c>
      <c r="F24" s="241">
        <f>'VMT Bridge BCA'!F24+'VMT Holabird BCA'!F24+'Bridge State of Good Repair'!F24+'Keith State of Good Repair'!F24</f>
        <v>6164.890458947367</v>
      </c>
      <c r="G24" s="9">
        <v>0.56</v>
      </c>
      <c r="H24" s="9">
        <v>0.27</v>
      </c>
      <c r="I24" s="9">
        <v>0.01</v>
      </c>
      <c r="J24" s="9">
        <v>0.06</v>
      </c>
      <c r="K24" s="9">
        <v>0.04</v>
      </c>
      <c r="L24" s="9">
        <v>0.001</v>
      </c>
      <c r="M24" s="9">
        <v>0.11</v>
      </c>
      <c r="N24" s="9">
        <v>0.02</v>
      </c>
      <c r="O24" s="9">
        <v>0.02</v>
      </c>
      <c r="P24" s="9">
        <v>0.0009</v>
      </c>
      <c r="Q24" s="91">
        <f>'VMT Bridge BCA'!Q24+'VMT Holabird BCA'!Q24+'Bridge State of Good Repair'!Q24+'Keith State of Good Repair'!Q24</f>
        <v>913806.6826381469</v>
      </c>
      <c r="R24" s="27">
        <f>'VMT Bridge BCA'!R24+'VMT Holabird BCA'!R24+'Bridge State of Good Repair'!R24+'Keith State of Good Repair'!R24</f>
        <v>8.403153824181917</v>
      </c>
      <c r="S24" s="28">
        <f>'VMT Bridge BCA'!S24+'VMT Holabird BCA'!S24+'Bridge State of Good Repair'!S24+'Keith State of Good Repair'!S24</f>
        <v>913815.0857919711</v>
      </c>
      <c r="T24" s="91">
        <f>'VMT Bridge BCA'!T24+'VMT Holabird BCA'!T24+'Bridge State of Good Repair'!T24+'Keith State of Good Repair'!T24</f>
        <v>1598959.4008809687</v>
      </c>
      <c r="U24" s="27">
        <f>'VMT Bridge BCA'!U24+'VMT Holabird BCA'!U24+'Bridge State of Good Repair'!U24+'Keith State of Good Repair'!U24</f>
        <v>647.0428444620076</v>
      </c>
      <c r="V24" s="28">
        <f>'VMT Bridge BCA'!V24+'VMT Holabird BCA'!V24+'Bridge State of Good Repair'!V24+'Keith State of Good Repair'!V24</f>
        <v>1599606.4437254306</v>
      </c>
      <c r="W24" s="91">
        <f>'VMT Bridge BCA'!W24+'VMT Holabird BCA'!W24+'Bridge State of Good Repair'!W24+'Keith State of Good Repair'!W24</f>
        <v>99986.25154110756</v>
      </c>
      <c r="X24" s="27">
        <f>'VMT Bridge BCA'!X24+'VMT Holabird BCA'!X24+'Bridge State of Good Repair'!X24+'Keith State of Good Repair'!X24</f>
        <v>99.9975305077648</v>
      </c>
      <c r="Y24" s="28">
        <f>'VMT Bridge BCA'!Y24+'VMT Holabird BCA'!Y24+'Bridge State of Good Repair'!Y24+'Keith State of Good Repair'!Y24</f>
        <v>100086.24907161533</v>
      </c>
      <c r="Z24" s="91">
        <f>'VMT Bridge BCA'!Z24+'VMT Holabird BCA'!Z24+'Bridge State of Good Repair'!Z24+'Keith State of Good Repair'!Z24</f>
        <v>390381.1038431069</v>
      </c>
      <c r="AA24" s="27">
        <f>'VMT Bridge BCA'!AA24+'VMT Holabird BCA'!AA24+'Bridge State of Good Repair'!AA24+'Keith State of Good Repair'!AA24</f>
        <v>111.7619458616195</v>
      </c>
      <c r="AB24" s="28">
        <f>'VMT Bridge BCA'!AB24+'VMT Holabird BCA'!AB24+'Bridge State of Good Repair'!AB24+'Keith State of Good Repair'!AB24</f>
        <v>390492.8657889685</v>
      </c>
      <c r="AC24" s="91">
        <f>'VMT Bridge BCA'!AC24+'VMT Holabird BCA'!AC24+'Bridge State of Good Repair'!AC24+'Keith State of Good Repair'!AC24</f>
        <v>239106.03608563333</v>
      </c>
      <c r="AD24" s="27">
        <f>'VMT Bridge BCA'!AD24+'VMT Holabird BCA'!AD24+'Bridge State of Good Repair'!AD24+'Keith State of Good Repair'!AD24</f>
        <v>7.562838441763725</v>
      </c>
      <c r="AE24" s="28">
        <f>'VMT Bridge BCA'!AE24+'VMT Holabird BCA'!AE24+'Bridge State of Good Repair'!AE24+'Keith State of Good Repair'!AE24</f>
        <v>239113.59892407508</v>
      </c>
      <c r="AF24" s="20">
        <f>'VMT Bridge BCA'!AF24+'VMT Holabird BCA'!AF24+'Bridge State of Good Repair'!AF24+'Keith State of Good Repair'!AF24</f>
        <v>1028806.756794567</v>
      </c>
      <c r="AG24" s="20">
        <f>'VMT Bridge BCA'!AG24+'VMT Holabird BCA'!AG24+'Bridge State of Good Repair'!AG24+'Keith State of Good Repair'!AG24</f>
        <v>251.6281819978517</v>
      </c>
      <c r="AH24" s="28">
        <f>'VMT Bridge BCA'!AH24+'VMT Holabird BCA'!AH24+'Bridge State of Good Repair'!AH24+'Keith State of Good Repair'!AH24</f>
        <v>2119860.273051724</v>
      </c>
      <c r="AI24" s="28">
        <f>'VMT Bridge BCA'!AI24+'VMT Holabird BCA'!AI24+'Bridge State of Good Repair'!AI24+'Keith State of Good Repair'!AI24</f>
        <v>-251028.8486578743</v>
      </c>
      <c r="AJ24" s="28">
        <f>'VMT Bridge BCA'!AJ24+'VMT Holabird BCA'!AJ24+'Bridge State of Good Repair'!AJ24+'Keith State of Good Repair'!AJ24</f>
        <v>-46.29958548760471</v>
      </c>
      <c r="AK24" s="20">
        <f>'VMT Bridge BCA'!AK24+'VMT Holabird BCA'!AK24+'Bridge State of Good Repair'!AK24+'Keith State of Good Repair'!AK24</f>
        <v>95775543.12757894</v>
      </c>
      <c r="AL24" s="20">
        <f>'VMT Bridge BCA'!AL24+'VMT Holabird BCA'!AL24+'Bridge State of Good Repair'!AL24+'Keith State of Good Repair'!AL24</f>
        <v>6858.486643365928</v>
      </c>
      <c r="AM24" s="212">
        <f>'VMT Bridge BCA'!AM24+'VMT Holabird BCA'!AM24</f>
        <v>75.9</v>
      </c>
      <c r="AN24" s="28">
        <f>'VMT Bridge BCA'!AN24+'VMT Holabird BCA'!AN24+'Bridge State of Good Repair'!AN24+'Keith State of Good Repair'!AN24</f>
        <v>260279.568115737</v>
      </c>
      <c r="AO24" s="67">
        <f t="shared" si="0"/>
        <v>0.553675754186335</v>
      </c>
      <c r="AP24" s="28">
        <f>'VMT Bridge BCA'!AP24+'VMT Holabird BCA'!AP24+'Bridge State of Good Repair'!AP24+'Keith State of Good Repair'!AP24</f>
        <v>505957.25681272</v>
      </c>
      <c r="AQ24" s="28">
        <f>'VMT Bridge BCA'!AQ24+'VMT Holabird BCA'!AQ24+'Bridge State of Good Repair'!AQ24+'Keith State of Good Repair'!AQ24</f>
        <v>885663.304130999</v>
      </c>
      <c r="AR24" s="28">
        <f>'VMT Bridge BCA'!AR24+'VMT Holabird BCA'!AR24+'Bridge State of Good Repair'!AR24+'Keith State of Good Repair'!AR24</f>
        <v>55415.329438407985</v>
      </c>
      <c r="AS24" s="28">
        <f>'VMT Bridge BCA'!AS24+'VMT Holabird BCA'!AS24+'Bridge State of Good Repair'!AS24+'Keith State of Good Repair'!AS24</f>
        <v>216206.43197009043</v>
      </c>
      <c r="AT24" s="28">
        <f>'VMT Bridge BCA'!AT24+'VMT Holabird BCA'!AT24+'Bridge State of Good Repair'!AT24+'Keith State of Good Repair'!AT24</f>
        <v>132391.4022204961</v>
      </c>
      <c r="AU24" s="28">
        <f>'VMT Bridge BCA'!AU24+'VMT Holabird BCA'!AU24+'Bridge State of Good Repair'!AU24+'Keith State of Good Repair'!AU24</f>
        <v>1173715.235451563</v>
      </c>
      <c r="AV24" s="28">
        <f>'VMT Bridge BCA'!AV24+'VMT Holabird BCA'!AV24+'Bridge State of Good Repair'!AV24+'Keith State of Good Repair'!AV24</f>
        <v>-138988.5871031759</v>
      </c>
      <c r="AW24" s="28">
        <f>'VMT Bridge BCA'!AW24+'VMT Holabird BCA'!AW24+'Bridge State of Good Repair'!AW24+'Keith State of Good Repair'!AW24</f>
        <v>-25.634957913364225</v>
      </c>
      <c r="AX24" s="28">
        <f>'VMT Bridge BCA'!AX24+'VMT Holabird BCA'!AX24+'Bridge State of Good Repair'!AX24+'Keith State of Good Repair'!AX24</f>
        <v>144110.48617577422</v>
      </c>
      <c r="AY24" s="67">
        <f t="shared" si="1"/>
        <v>0.2584190028138687</v>
      </c>
      <c r="AZ24" s="28">
        <f>'VMT Bridge BCA'!AZ24+'VMT Holabird BCA'!AZ24+'Bridge State of Good Repair'!AZ24+'Keith State of Good Repair'!AZ24</f>
        <v>236147.18322663105</v>
      </c>
      <c r="BA24" s="28">
        <f>'VMT Bridge BCA'!BA24+'VMT Holabird BCA'!BA24+'Bridge State of Good Repair'!BA24+'Keith State of Good Repair'!BA24</f>
        <v>413368.7020821646</v>
      </c>
      <c r="BB24" s="28">
        <f>'VMT Bridge BCA'!BB24+'VMT Holabird BCA'!BB24+'Bridge State of Good Repair'!BB24+'Keith State of Good Repair'!BB24</f>
        <v>25864.188680467323</v>
      </c>
      <c r="BC24" s="28">
        <f>'VMT Bridge BCA'!BC24+'VMT Holabird BCA'!BC24+'Bridge State of Good Repair'!BC24+'Keith State of Good Repair'!BC24</f>
        <v>100910.77698311511</v>
      </c>
      <c r="BD24" s="28">
        <f>'VMT Bridge BCA'!BD24+'VMT Holabird BCA'!BD24+'Bridge State of Good Repair'!BD24+'Keith State of Good Repair'!BD24</f>
        <v>61791.49779319483</v>
      </c>
      <c r="BE24" s="28">
        <f>'VMT Bridge BCA'!BE24+'VMT Holabird BCA'!BE24+'Bridge State of Good Repair'!BE24+'Keith State of Good Repair'!BE24</f>
        <v>547812.1778667618</v>
      </c>
      <c r="BF24" s="28">
        <f>'VMT Bridge BCA'!BF24+'VMT Holabird BCA'!BF24+'Bridge State of Good Repair'!BF24+'Keith State of Good Repair'!BF24</f>
        <v>-64870.624747681446</v>
      </c>
      <c r="BG24" s="28">
        <f>'VMT Bridge BCA'!BG24+'VMT Holabird BCA'!BG24+'Bridge State of Good Repair'!BG24+'Keith State of Good Repair'!BG24</f>
        <v>-11.964692712402275</v>
      </c>
      <c r="BH24" s="28">
        <f>'VMT Bridge BCA'!BH24+'VMT Holabird BCA'!BH24+'Bridge State of Good Repair'!BH24+'Keith State of Good Repair'!BH24</f>
        <v>67261.18644529316</v>
      </c>
      <c r="BI24" s="28">
        <f>'VMT Bridge BCA'!BI24+'VMT Holabird BCA'!BI24+'Bridge State of Good Repair'!BI24+'Keith State of Good Repair'!BI24</f>
        <v>100000</v>
      </c>
      <c r="BJ24" s="28">
        <f>'VMT Bridge BCA'!BJ24+'VMT Holabird BCA'!BJ24+'Bridge State of Good Repair'!BJ24+'Keith State of Good Repair'!BJ24</f>
        <v>55367.575418633496</v>
      </c>
      <c r="BK24" s="28">
        <f>'VMT Bridge BCA'!BK24+'VMT Holabird BCA'!BK24+'Bridge State of Good Repair'!BK24+'Keith State of Good Repair'!BK24</f>
        <v>25841.900281386872</v>
      </c>
      <c r="BL24" s="28">
        <f>'VMT Bridge BCA'!BL24+'VMT Holabird BCA'!BL24+'Bridge State of Good Repair'!BL24+'Keith State of Good Repair'!BL24</f>
        <v>6500</v>
      </c>
      <c r="BM24" s="28">
        <f>'VMT Bridge BCA'!BM24+'VMT Holabird BCA'!BM24+'Bridge State of Good Repair'!BM24+'Keith State of Good Repair'!BM24</f>
        <v>3598.8924022111773</v>
      </c>
      <c r="BN24" s="28">
        <f>'VMT Bridge BCA'!BN24+'VMT Holabird BCA'!BN24+'Bridge State of Good Repair'!BN24+'Keith State of Good Repair'!BN24</f>
        <v>1679.7235182901466</v>
      </c>
      <c r="BO24" s="88">
        <f>'Complete Streets Bio Retention'!$A$21</f>
        <v>15736.62181254302</v>
      </c>
      <c r="BP24" s="97">
        <f t="shared" si="2"/>
        <v>8712.985950404887</v>
      </c>
      <c r="BQ24" s="97">
        <f t="shared" si="3"/>
        <v>4066.6421164563426</v>
      </c>
    </row>
    <row r="25" spans="1:69" s="9" customFormat="1" ht="15">
      <c r="A25" s="71">
        <v>2036</v>
      </c>
      <c r="B25" s="98">
        <v>21</v>
      </c>
      <c r="C25" s="220">
        <f>'VMT Bridge BCA'!C25+'VMT Holabird BCA'!C25+'Bridge State of Good Repair'!C25+'Keith State of Good Repair'!C25</f>
        <v>639372</v>
      </c>
      <c r="D25" s="64">
        <f>'VMT Bridge BCA'!D25+'VMT Holabird BCA'!D25+'Bridge State of Good Repair'!D25+'Keith State of Good Repair'!D25</f>
        <v>5268</v>
      </c>
      <c r="E25" s="220">
        <f>'VMT Bridge BCA'!E25+'VMT Holabird BCA'!E25+'Bridge State of Good Repair'!E25+'Keith State of Good Repair'!E25</f>
        <v>6442390.752593683</v>
      </c>
      <c r="F25" s="241">
        <f>'VMT Bridge BCA'!F25+'VMT Holabird BCA'!F25+'Bridge State of Good Repair'!F25+'Keith State of Good Repair'!F25</f>
        <v>6225.156783157893</v>
      </c>
      <c r="G25" s="9">
        <v>0.56</v>
      </c>
      <c r="H25" s="9">
        <v>0.27</v>
      </c>
      <c r="I25" s="9">
        <v>0.01</v>
      </c>
      <c r="J25" s="9">
        <v>0.06</v>
      </c>
      <c r="K25" s="9">
        <v>0.04</v>
      </c>
      <c r="L25" s="9">
        <v>0.001</v>
      </c>
      <c r="M25" s="9">
        <v>0.11</v>
      </c>
      <c r="N25" s="9">
        <v>0.02</v>
      </c>
      <c r="O25" s="9">
        <v>0.02</v>
      </c>
      <c r="P25" s="9">
        <v>0.0009</v>
      </c>
      <c r="Q25" s="91">
        <f>'VMT Bridge BCA'!Q25+'VMT Holabird BCA'!Q25+'Bridge State of Good Repair'!Q25+'Keith State of Good Repair'!Q25</f>
        <v>922945.0827030784</v>
      </c>
      <c r="R25" s="27">
        <f>'VMT Bridge BCA'!R25+'VMT Holabird BCA'!R25+'Bridge State of Good Repair'!R25+'Keith State of Good Repair'!R25</f>
        <v>8.48530081383752</v>
      </c>
      <c r="S25" s="28">
        <f>'VMT Bridge BCA'!S25+'VMT Holabird BCA'!S25+'Bridge State of Good Repair'!S25+'Keith State of Good Repair'!S25</f>
        <v>922953.5680038922</v>
      </c>
      <c r="T25" s="91">
        <f>'VMT Bridge BCA'!T25+'VMT Holabird BCA'!T25+'Bridge State of Good Repair'!T25+'Keith State of Good Repair'!T25</f>
        <v>1614949.703139234</v>
      </c>
      <c r="U25" s="27">
        <f>'VMT Bridge BCA'!U25+'VMT Holabird BCA'!U25+'Bridge State of Good Repair'!U25+'Keith State of Good Repair'!U25</f>
        <v>653.368162665489</v>
      </c>
      <c r="V25" s="28">
        <f>'VMT Bridge BCA'!V25+'VMT Holabird BCA'!V25+'Bridge State of Good Repair'!V25+'Keith State of Good Repair'!V25</f>
        <v>1615603.0713018996</v>
      </c>
      <c r="W25" s="91">
        <f>'VMT Bridge BCA'!W25+'VMT Holabird BCA'!W25+'Bridge State of Good Repair'!W25+'Keith State of Good Repair'!W25</f>
        <v>100986.15859849639</v>
      </c>
      <c r="X25" s="27">
        <f>'VMT Bridge BCA'!X25+'VMT Holabird BCA'!X25+'Bridge State of Good Repair'!X25+'Keith State of Good Repair'!X25</f>
        <v>100.97507968466647</v>
      </c>
      <c r="Y25" s="28">
        <f>'VMT Bridge BCA'!Y25+'VMT Holabird BCA'!Y25+'Bridge State of Good Repair'!Y25+'Keith State of Good Repair'!Y25</f>
        <v>101087.13367818105</v>
      </c>
      <c r="Z25" s="91">
        <f>'VMT Bridge BCA'!Z25+'VMT Holabird BCA'!Z25+'Bridge State of Good Repair'!Z25+'Keith State of Good Repair'!Z25</f>
        <v>394285.088788912</v>
      </c>
      <c r="AA25" s="27">
        <f>'VMT Bridge BCA'!AA25+'VMT Holabird BCA'!AA25+'Bridge State of Good Repair'!AA25+'Keith State of Good Repair'!AA25</f>
        <v>112.85450082403901</v>
      </c>
      <c r="AB25" s="28">
        <f>'VMT Bridge BCA'!AB25+'VMT Holabird BCA'!AB25+'Bridge State of Good Repair'!AB25+'Keith State of Good Repair'!AB25</f>
        <v>394397.94328973605</v>
      </c>
      <c r="AC25" s="91">
        <f>'VMT Bridge BCA'!AC25+'VMT Holabird BCA'!AC25+'Bridge State of Good Repair'!AC25+'Keith State of Good Repair'!AC25</f>
        <v>241497.20225924923</v>
      </c>
      <c r="AD25" s="27">
        <f>'VMT Bridge BCA'!AD25+'VMT Holabird BCA'!AD25+'Bridge State of Good Repair'!AD25+'Keith State of Good Repair'!AD25</f>
        <v>7.636770732453767</v>
      </c>
      <c r="AE25" s="28">
        <f>'VMT Bridge BCA'!AE25+'VMT Holabird BCA'!AE25+'Bridge State of Good Repair'!AE25+'Keith State of Good Repair'!AE25</f>
        <v>241504.83902998167</v>
      </c>
      <c r="AF25" s="20">
        <f>'VMT Bridge BCA'!AF25+'VMT Holabird BCA'!AF25+'Bridge State of Good Repair'!AF25+'Keith State of Good Repair'!AF25</f>
        <v>1039095.2826764005</v>
      </c>
      <c r="AG25" s="20">
        <f>'VMT Bridge BCA'!AG25+'VMT Holabird BCA'!AG25+'Bridge State of Good Repair'!AG25+'Keith State of Good Repair'!AG25</f>
        <v>254.0880319656283</v>
      </c>
      <c r="AH25" s="28">
        <f>'VMT Bridge BCA'!AH25+'VMT Holabird BCA'!AH25+'Bridge State of Good Repair'!AH25+'Keith State of Good Repair'!AH25</f>
        <v>2141059.703659234</v>
      </c>
      <c r="AI25" s="28">
        <f>'VMT Bridge BCA'!AI25+'VMT Holabird BCA'!AI25+'Bridge State of Good Repair'!AI25+'Keith State of Good Repair'!AI25</f>
        <v>-253539.24897304171</v>
      </c>
      <c r="AJ25" s="28">
        <f>'VMT Bridge BCA'!AJ25+'VMT Holabird BCA'!AJ25+'Bridge State of Good Repair'!AJ25+'Keith State of Good Repair'!AJ25</f>
        <v>-46.752197881675606</v>
      </c>
      <c r="AK25" s="20">
        <f>'VMT Bridge BCA'!AK25+'VMT Holabird BCA'!AK25+'Bridge State of Good Repair'!AK25+'Keith State of Good Repair'!AK25</f>
        <v>96733333.20562105</v>
      </c>
      <c r="AL25" s="20">
        <f>'VMT Bridge BCA'!AL25+'VMT Holabird BCA'!AL25+'Bridge State of Good Repair'!AL25+'Keith State of Good Repair'!AL25</f>
        <v>6927.073990854523</v>
      </c>
      <c r="AM25" s="212">
        <f>'VMT Bridge BCA'!AM25+'VMT Holabird BCA'!AM25</f>
        <v>77.04</v>
      </c>
      <c r="AN25" s="28">
        <f>'VMT Bridge BCA'!AN25+'VMT Holabird BCA'!AN25+'Bridge State of Good Repair'!AN25+'Keith State of Good Repair'!AN25</f>
        <v>266830.8901277163</v>
      </c>
      <c r="AO25" s="67">
        <f t="shared" si="0"/>
        <v>0.5375492759090631</v>
      </c>
      <c r="AP25" s="28">
        <f>'VMT Bridge BCA'!AP25+'VMT Holabird BCA'!AP25+'Bridge State of Good Repair'!AP25+'Keith State of Good Repair'!AP25</f>
        <v>496133.0221781785</v>
      </c>
      <c r="AQ25" s="28">
        <f>'VMT Bridge BCA'!AQ25+'VMT Holabird BCA'!AQ25+'Bridge State of Good Repair'!AQ25+'Keith State of Good Repair'!AQ25</f>
        <v>868466.2611347946</v>
      </c>
      <c r="AR25" s="28">
        <f>'VMT Bridge BCA'!AR25+'VMT Holabird BCA'!AR25+'Bridge State of Good Repair'!AR25+'Keith State of Good Repair'!AR25</f>
        <v>54339.3155124289</v>
      </c>
      <c r="AS25" s="28">
        <f>'VMT Bridge BCA'!AS25+'VMT Holabird BCA'!AS25+'Bridge State of Good Repair'!AS25+'Keith State of Good Repair'!AS25</f>
        <v>212008.32883542136</v>
      </c>
      <c r="AT25" s="28">
        <f>'VMT Bridge BCA'!AT25+'VMT Holabird BCA'!AT25+'Bridge State of Good Repair'!AT25+'Keith State of Good Repair'!AT25</f>
        <v>129820.75134910148</v>
      </c>
      <c r="AU25" s="28">
        <f>'VMT Bridge BCA'!AU25+'VMT Holabird BCA'!AU25+'Bridge State of Good Repair'!AU25+'Keith State of Good Repair'!AU25</f>
        <v>1150925.0933800945</v>
      </c>
      <c r="AV25" s="28">
        <f>'VMT Bridge BCA'!AV25+'VMT Holabird BCA'!AV25+'Bridge State of Good Repair'!AV25+'Keith State of Good Repair'!AV25</f>
        <v>-136289.83969998625</v>
      </c>
      <c r="AW25" s="28">
        <f>'VMT Bridge BCA'!AW25+'VMT Holabird BCA'!AW25+'Bridge State of Good Repair'!AW25+'Keith State of Good Repair'!AW25</f>
        <v>-25.131610118451956</v>
      </c>
      <c r="AX25" s="28">
        <f>'VMT Bridge BCA'!AX25+'VMT Holabird BCA'!AX25+'Bridge State of Good Repair'!AX25+'Keith State of Good Repair'!AX25</f>
        <v>143434.75177832463</v>
      </c>
      <c r="AY25" s="67">
        <f t="shared" si="1"/>
        <v>0.24151308674193336</v>
      </c>
      <c r="AZ25" s="28">
        <f>'VMT Bridge BCA'!AZ25+'VMT Holabird BCA'!AZ25+'Bridge State of Good Repair'!AZ25+'Keith State of Good Repair'!AZ25</f>
        <v>222905.36512810094</v>
      </c>
      <c r="BA25" s="28">
        <f>'VMT Bridge BCA'!BA25+'VMT Holabird BCA'!BA25+'Bridge State of Good Repair'!BA25+'Keith State of Good Repair'!BA25</f>
        <v>390189.28469986963</v>
      </c>
      <c r="BB25" s="28">
        <f>'VMT Bridge BCA'!BB25+'VMT Holabird BCA'!BB25+'Bridge State of Good Repair'!BB25+'Keith State of Good Repair'!BB25</f>
        <v>24413.865684511955</v>
      </c>
      <c r="BC25" s="28">
        <f>'VMT Bridge BCA'!BC25+'VMT Holabird BCA'!BC25+'Bridge State of Good Repair'!BC25+'Keith State of Good Repair'!BC25</f>
        <v>95252.26468857414</v>
      </c>
      <c r="BD25" s="28">
        <f>'VMT Bridge BCA'!BD25+'VMT Holabird BCA'!BD25+'Bridge State of Good Repair'!BD25+'Keith State of Good Repair'!BD25</f>
        <v>58326.57913724462</v>
      </c>
      <c r="BE25" s="28">
        <f>'VMT Bridge BCA'!BE25+'VMT Holabird BCA'!BE25+'Bridge State of Good Repair'!BE25+'Keith State of Good Repair'!BE25</f>
        <v>517093.9379295107</v>
      </c>
      <c r="BF25" s="28">
        <f>'VMT Bridge BCA'!BF25+'VMT Holabird BCA'!BF25+'Bridge State of Good Repair'!BF25+'Keith State of Good Repair'!BF25</f>
        <v>-61233.046629710865</v>
      </c>
      <c r="BG25" s="28">
        <f>'VMT Bridge BCA'!BG25+'VMT Holabird BCA'!BG25+'Bridge State of Good Repair'!BG25+'Keith State of Good Repair'!BG25</f>
        <v>-11.291267622373153</v>
      </c>
      <c r="BH25" s="28">
        <f>'VMT Bridge BCA'!BH25+'VMT Holabird BCA'!BH25+'Bridge State of Good Repair'!BH25+'Keith State of Good Repair'!BH25</f>
        <v>64443.15191284243</v>
      </c>
      <c r="BI25" s="28">
        <f>'VMT Bridge BCA'!BI25+'VMT Holabird BCA'!BI25+'Bridge State of Good Repair'!BI25+'Keith State of Good Repair'!BI25</f>
        <v>100000</v>
      </c>
      <c r="BJ25" s="28">
        <f>'VMT Bridge BCA'!BJ25+'VMT Holabird BCA'!BJ25+'Bridge State of Good Repair'!BJ25+'Keith State of Good Repair'!BJ25</f>
        <v>53754.92759090631</v>
      </c>
      <c r="BK25" s="28">
        <f>'VMT Bridge BCA'!BK25+'VMT Holabird BCA'!BK25+'Bridge State of Good Repair'!BK25+'Keith State of Good Repair'!BK25</f>
        <v>24151.308674193337</v>
      </c>
      <c r="BL25" s="28">
        <f>'VMT Bridge BCA'!BL25+'VMT Holabird BCA'!BL25+'Bridge State of Good Repair'!BL25+'Keith State of Good Repair'!BL25</f>
        <v>6500</v>
      </c>
      <c r="BM25" s="28">
        <f>'VMT Bridge BCA'!BM25+'VMT Holabird BCA'!BM25+'Bridge State of Good Repair'!BM25+'Keith State of Good Repair'!BM25</f>
        <v>3494.07029340891</v>
      </c>
      <c r="BN25" s="28">
        <f>'VMT Bridge BCA'!BN25+'VMT Holabird BCA'!BN25+'Bridge State of Good Repair'!BN25+'Keith State of Good Repair'!BN25</f>
        <v>1569.835063822567</v>
      </c>
      <c r="BO25" s="88">
        <f>'Complete Streets Bio Retention'!$A$21</f>
        <v>15736.62181254302</v>
      </c>
      <c r="BP25" s="97">
        <f t="shared" si="2"/>
        <v>8459.209660587268</v>
      </c>
      <c r="BQ25" s="97">
        <f t="shared" si="3"/>
        <v>3800.600108837703</v>
      </c>
    </row>
    <row r="26" spans="1:69" s="9" customFormat="1" ht="15">
      <c r="A26" s="72">
        <v>2037</v>
      </c>
      <c r="B26" s="99">
        <v>22</v>
      </c>
      <c r="C26" s="220">
        <f>'VMT Bridge BCA'!C26+'VMT Holabird BCA'!C26+'Bridge State of Good Repair'!C26+'Keith State of Good Repair'!C26</f>
        <v>645766</v>
      </c>
      <c r="D26" s="64">
        <f>'VMT Bridge BCA'!D26+'VMT Holabird BCA'!D26+'Bridge State of Good Repair'!D26+'Keith State of Good Repair'!D26</f>
        <v>5323</v>
      </c>
      <c r="E26" s="220">
        <f>'VMT Bridge BCA'!E26+'VMT Holabird BCA'!E26+'Bridge State of Good Repair'!E26+'Keith State of Good Repair'!E26</f>
        <v>6506814.114753683</v>
      </c>
      <c r="F26" s="241">
        <f>'VMT Bridge BCA'!F26+'VMT Holabird BCA'!F26+'Bridge State of Good Repair'!F26+'Keith State of Good Repair'!F26</f>
        <v>6290.149877894735</v>
      </c>
      <c r="G26" s="9">
        <v>0.56</v>
      </c>
      <c r="H26" s="9">
        <v>0.27</v>
      </c>
      <c r="I26" s="9">
        <v>0.01</v>
      </c>
      <c r="J26" s="9">
        <v>0.06</v>
      </c>
      <c r="K26" s="9">
        <v>0.04</v>
      </c>
      <c r="L26" s="9">
        <v>0.001</v>
      </c>
      <c r="M26" s="9">
        <v>0.11</v>
      </c>
      <c r="N26" s="9">
        <v>0.02</v>
      </c>
      <c r="O26" s="9">
        <v>0.02</v>
      </c>
      <c r="P26" s="9">
        <v>0.0009</v>
      </c>
      <c r="Q26" s="91">
        <f>'VMT Bridge BCA'!Q26+'VMT Holabird BCA'!Q26+'Bridge State of Good Repair'!Q26+'Keith State of Good Repair'!Q26</f>
        <v>932174.7835487986</v>
      </c>
      <c r="R26" s="27">
        <f>'VMT Bridge BCA'!R26+'VMT Holabird BCA'!R26+'Bridge State of Good Repair'!R26+'Keith State of Good Repair'!R26</f>
        <v>8.573890704642581</v>
      </c>
      <c r="S26" s="28">
        <f>'VMT Bridge BCA'!S26+'VMT Holabird BCA'!S26+'Bridge State of Good Repair'!S26+'Keith State of Good Repair'!S26</f>
        <v>932183.3574395033</v>
      </c>
      <c r="T26" s="91">
        <f>'VMT Bridge BCA'!T26+'VMT Holabird BCA'!T26+'Bridge State of Good Repair'!T26+'Keith State of Good Repair'!T26</f>
        <v>1631099.0814873113</v>
      </c>
      <c r="U26" s="27">
        <f>'VMT Bridge BCA'!U26+'VMT Holabird BCA'!U26+'Bridge State of Good Repair'!U26+'Keith State of Good Repair'!U26</f>
        <v>660.1895842574787</v>
      </c>
      <c r="V26" s="28">
        <f>'VMT Bridge BCA'!V26+'VMT Holabird BCA'!V26+'Bridge State of Good Repair'!V26+'Keith State of Good Repair'!V26</f>
        <v>1631759.2710715688</v>
      </c>
      <c r="W26" s="91">
        <f>'VMT Bridge BCA'!W26+'VMT Holabird BCA'!W26+'Bridge State of Good Repair'!W26+'Keith State of Good Repair'!W26</f>
        <v>101996.01163572777</v>
      </c>
      <c r="X26" s="27">
        <f>'VMT Bridge BCA'!X26+'VMT Holabird BCA'!X26+'Bridge State of Good Repair'!X26+'Keith State of Good Repair'!X26</f>
        <v>102.0292993852467</v>
      </c>
      <c r="Y26" s="28">
        <f>'VMT Bridge BCA'!Y26+'VMT Holabird BCA'!Y26+'Bridge State of Good Repair'!Y26+'Keith State of Good Repair'!Y26</f>
        <v>102098.04093511302</v>
      </c>
      <c r="Z26" s="91">
        <f>'VMT Bridge BCA'!Z26+'VMT Holabird BCA'!Z26+'Bridge State of Good Repair'!Z26+'Keith State of Good Repair'!Z26</f>
        <v>398227.9062994937</v>
      </c>
      <c r="AA26" s="27">
        <f>'VMT Bridge BCA'!AA26+'VMT Holabird BCA'!AA26+'Bridge State of Good Repair'!AA26+'Keith State of Good Repair'!AA26</f>
        <v>114.03274637174633</v>
      </c>
      <c r="AB26" s="28">
        <f>'VMT Bridge BCA'!AB26+'VMT Holabird BCA'!AB26+'Bridge State of Good Repair'!AB26+'Keith State of Good Repair'!AB26</f>
        <v>398341.93904586544</v>
      </c>
      <c r="AC26" s="91">
        <f>'VMT Bridge BCA'!AC26+'VMT Holabird BCA'!AC26+'Bridge State of Good Repair'!AC26+'Keith State of Good Repair'!AC26</f>
        <v>243912.15696880934</v>
      </c>
      <c r="AD26" s="27">
        <f>'VMT Bridge BCA'!AD26+'VMT Holabird BCA'!AD26+'Bridge State of Good Repair'!AD26+'Keith State of Good Repair'!AD26</f>
        <v>7.716501634178322</v>
      </c>
      <c r="AE26" s="28">
        <f>'VMT Bridge BCA'!AE26+'VMT Holabird BCA'!AE26+'Bridge State of Good Repair'!AE26+'Keith State of Good Repair'!AE26</f>
        <v>243919.87347044353</v>
      </c>
      <c r="AF26" s="20">
        <f>'VMT Bridge BCA'!AF26+'VMT Holabird BCA'!AF26+'Bridge State of Good Repair'!AF26+'Keith State of Good Repair'!AF26</f>
        <v>1049486.1475409167</v>
      </c>
      <c r="AG26" s="20">
        <f>'VMT Bridge BCA'!AG26+'VMT Holabird BCA'!AG26+'Bridge State of Good Repair'!AG26+'Keith State of Good Repair'!AG26</f>
        <v>256.74081134264225</v>
      </c>
      <c r="AH26" s="28">
        <f>'VMT Bridge BCA'!AH26+'VMT Holabird BCA'!AH26+'Bridge State of Good Repair'!AH26+'Keith State of Good Repair'!AH26</f>
        <v>2162470.350005654</v>
      </c>
      <c r="AI26" s="28">
        <f>'VMT Bridge BCA'!AI26+'VMT Holabird BCA'!AI26+'Bridge State of Good Repair'!AI26+'Keith State of Good Repair'!AI26</f>
        <v>-256074.61999998364</v>
      </c>
      <c r="AJ26" s="28">
        <f>'VMT Bridge BCA'!AJ26+'VMT Holabird BCA'!AJ26+'Bridge State of Good Repair'!AJ26+'Keith State of Good Repair'!AJ26</f>
        <v>-47.24030928704617</v>
      </c>
      <c r="AK26" s="20">
        <f>'VMT Bridge BCA'!AK26+'VMT Holabird BCA'!AK26+'Bridge State of Good Repair'!AK26+'Keith State of Good Repair'!AK26</f>
        <v>97700693.98522104</v>
      </c>
      <c r="AL26" s="20">
        <f>'VMT Bridge BCA'!AL26+'VMT Holabird BCA'!AL26+'Bridge State of Good Repair'!AL26+'Keith State of Good Repair'!AL26</f>
        <v>6996.346696281679</v>
      </c>
      <c r="AM26" s="212">
        <f>'VMT Bridge BCA'!AM26+'VMT Holabird BCA'!AM26</f>
        <v>78.18</v>
      </c>
      <c r="AN26" s="28">
        <f>'VMT Bridge BCA'!AN26+'VMT Holabird BCA'!AN26+'Bridge State of Good Repair'!AN26+'Keith State of Good Repair'!AN26</f>
        <v>273487.1923576509</v>
      </c>
      <c r="AO26" s="67">
        <f t="shared" si="0"/>
        <v>0.5218925008825855</v>
      </c>
      <c r="AP26" s="28">
        <f>'VMT Bridge BCA'!AP26+'VMT Holabird BCA'!AP26+'Bridge State of Good Repair'!AP26+'Keith State of Good Repair'!AP26</f>
        <v>486499.50369522755</v>
      </c>
      <c r="AQ26" s="28">
        <f>'VMT Bridge BCA'!AQ26+'VMT Holabird BCA'!AQ26+'Bridge State of Good Repair'!AQ26+'Keith State of Good Repair'!AQ26</f>
        <v>851602.9268178858</v>
      </c>
      <c r="AR26" s="28">
        <f>'VMT Bridge BCA'!AR26+'VMT Holabird BCA'!AR26+'Bridge State of Good Repair'!AR26+'Keith State of Good Repair'!AR26</f>
        <v>53284.201918838735</v>
      </c>
      <c r="AS26" s="28">
        <f>'VMT Bridge BCA'!AS26+'VMT Holabird BCA'!AS26+'Bridge State of Good Repair'!AS26+'Keith State of Good Repair'!AS26</f>
        <v>207891.67077506517</v>
      </c>
      <c r="AT26" s="28">
        <f>'VMT Bridge BCA'!AT26+'VMT Holabird BCA'!AT26+'Bridge State of Good Repair'!AT26+'Keith State of Good Repair'!AT26</f>
        <v>127299.9527804536</v>
      </c>
      <c r="AU26" s="28">
        <f>'VMT Bridge BCA'!AU26+'VMT Holabird BCA'!AU26+'Bridge State of Good Repair'!AU26+'Keith State of Good Repair'!AU26</f>
        <v>1128577.059048891</v>
      </c>
      <c r="AV26" s="28">
        <f>'VMT Bridge BCA'!AV26+'VMT Holabird BCA'!AV26+'Bridge State of Good Repair'!AV26+'Keith State of Good Repair'!AV26</f>
        <v>-133643.42384434922</v>
      </c>
      <c r="AW26" s="28">
        <f>'VMT Bridge BCA'!AW26+'VMT Holabird BCA'!AW26+'Bridge State of Good Repair'!AW26+'Keith State of Good Repair'!AW26</f>
        <v>-24.65436315628336</v>
      </c>
      <c r="AX26" s="28">
        <f>'VMT Bridge BCA'!AX26+'VMT Holabird BCA'!AX26+'Bridge State of Good Repair'!AX26+'Keith State of Good Repair'!AX26</f>
        <v>142730.91477889117</v>
      </c>
      <c r="AY26" s="67">
        <f t="shared" si="1"/>
        <v>0.22571316517937698</v>
      </c>
      <c r="AZ26" s="28">
        <f>'VMT Bridge BCA'!AZ26+'VMT Holabird BCA'!AZ26+'Bridge State of Good Repair'!AZ26+'Keith State of Good Repair'!AZ26</f>
        <v>210406.0561352088</v>
      </c>
      <c r="BA26" s="28">
        <f>'VMT Bridge BCA'!BA26+'VMT Holabird BCA'!BA26+'Bridge State of Good Repair'!BA26+'Keith State of Good Repair'!BA26</f>
        <v>368309.5498843568</v>
      </c>
      <c r="BB26" s="28">
        <f>'VMT Bridge BCA'!BB26+'VMT Holabird BCA'!BB26+'Bridge State of Good Repair'!BB26+'Keith State of Good Repair'!BB26</f>
        <v>23044.871978077957</v>
      </c>
      <c r="BC26" s="28">
        <f>'VMT Bridge BCA'!BC26+'VMT Holabird BCA'!BC26+'Bridge State of Good Repair'!BC26+'Keith State of Good Repair'!BC26</f>
        <v>89911.01988573273</v>
      </c>
      <c r="BD26" s="28">
        <f>'VMT Bridge BCA'!BD26+'VMT Holabird BCA'!BD26+'Bridge State of Good Repair'!BD26+'Keith State of Good Repair'!BD26</f>
        <v>55055.926691166955</v>
      </c>
      <c r="BE26" s="28">
        <f>'VMT Bridge BCA'!BE26+'VMT Holabird BCA'!BE26+'Bridge State of Good Repair'!BE26+'Keith State of Good Repair'!BE26</f>
        <v>488098.0273063314</v>
      </c>
      <c r="BF26" s="28">
        <f>'VMT Bridge BCA'!BF26+'VMT Holabird BCA'!BF26+'Bridge State of Good Repair'!BF26+'Keith State of Good Repair'!BF26</f>
        <v>-57799.4130023025</v>
      </c>
      <c r="BG26" s="28">
        <f>'VMT Bridge BCA'!BG26+'VMT Holabird BCA'!BG26+'Bridge State of Good Repair'!BG26+'Keith State of Good Repair'!BG26</f>
        <v>-10.662759733231908</v>
      </c>
      <c r="BH26" s="28">
        <f>'VMT Bridge BCA'!BH26+'VMT Holabird BCA'!BH26+'Bridge State of Good Repair'!BH26+'Keith State of Good Repair'!BH26</f>
        <v>61729.6598230665</v>
      </c>
      <c r="BI26" s="28">
        <f>'VMT Bridge BCA'!BI26+'VMT Holabird BCA'!BI26+'Bridge State of Good Repair'!BI26+'Keith State of Good Repair'!BI26</f>
        <v>100000</v>
      </c>
      <c r="BJ26" s="28">
        <f>'VMT Bridge BCA'!BJ26+'VMT Holabird BCA'!BJ26+'Bridge State of Good Repair'!BJ26+'Keith State of Good Repair'!BJ26</f>
        <v>52189.25008825855</v>
      </c>
      <c r="BK26" s="28">
        <f>'VMT Bridge BCA'!BK26+'VMT Holabird BCA'!BK26+'Bridge State of Good Repair'!BK26+'Keith State of Good Repair'!BK26</f>
        <v>22571.3165179377</v>
      </c>
      <c r="BL26" s="28">
        <f>'VMT Bridge BCA'!BL26+'VMT Holabird BCA'!BL26+'Bridge State of Good Repair'!BL26+'Keith State of Good Repair'!BL26</f>
        <v>6500</v>
      </c>
      <c r="BM26" s="28">
        <f>'VMT Bridge BCA'!BM26+'VMT Holabird BCA'!BM26+'Bridge State of Good Repair'!BM26+'Keith State of Good Repair'!BM26</f>
        <v>3392.3012557368056</v>
      </c>
      <c r="BN26" s="28">
        <f>'VMT Bridge BCA'!BN26+'VMT Holabird BCA'!BN26+'Bridge State of Good Repair'!BN26+'Keith State of Good Repair'!BN26</f>
        <v>1467.1355736659505</v>
      </c>
      <c r="BO26" s="88">
        <f>'Complete Streets Bio Retention'!$A$21</f>
        <v>15736.62181254302</v>
      </c>
      <c r="BP26" s="97">
        <f t="shared" si="2"/>
        <v>8212.824913191524</v>
      </c>
      <c r="BQ26" s="97">
        <f t="shared" si="3"/>
        <v>3551.9627185399095</v>
      </c>
    </row>
    <row r="27" spans="1:69" s="9" customFormat="1" ht="15">
      <c r="A27" s="71">
        <v>2038</v>
      </c>
      <c r="B27" s="99">
        <v>23</v>
      </c>
      <c r="C27" s="220">
        <f>'VMT Bridge BCA'!C27+'VMT Holabird BCA'!C27+'Bridge State of Good Repair'!C27+'Keith State of Good Repair'!C27</f>
        <v>652223</v>
      </c>
      <c r="D27" s="64">
        <f>'VMT Bridge BCA'!D27+'VMT Holabird BCA'!D27+'Bridge State of Good Repair'!D27+'Keith State of Good Repair'!D27</f>
        <v>5375</v>
      </c>
      <c r="E27" s="220">
        <f>'VMT Bridge BCA'!E27+'VMT Holabird BCA'!E27+'Bridge State of Good Repair'!E27+'Keith State of Good Repair'!E27</f>
        <v>6571879.535221052</v>
      </c>
      <c r="F27" s="241">
        <f>'VMT Bridge BCA'!F27+'VMT Holabird BCA'!F27+'Bridge State of Good Repair'!F27+'Keith State of Good Repair'!F27</f>
        <v>6351.59789473684</v>
      </c>
      <c r="G27" s="9">
        <v>0.56</v>
      </c>
      <c r="H27" s="9">
        <v>0.27</v>
      </c>
      <c r="I27" s="9">
        <v>0.01</v>
      </c>
      <c r="J27" s="9">
        <v>0.06</v>
      </c>
      <c r="K27" s="9">
        <v>0.04</v>
      </c>
      <c r="L27" s="9">
        <v>0.001</v>
      </c>
      <c r="M27" s="9">
        <v>0.11</v>
      </c>
      <c r="N27" s="9">
        <v>0.02</v>
      </c>
      <c r="O27" s="9">
        <v>0.02</v>
      </c>
      <c r="P27" s="9">
        <v>0.0009</v>
      </c>
      <c r="Q27" s="91">
        <f>'VMT Bridge BCA'!Q27+'VMT Holabird BCA'!Q27+'Bridge State of Good Repair'!Q27+'Keith State of Good Repair'!Q27</f>
        <v>941495.8873717788</v>
      </c>
      <c r="R27" s="27">
        <f>'VMT Bridge BCA'!R27+'VMT Holabird BCA'!R27+'Bridge State of Good Repair'!R27+'Keith State of Good Repair'!R27</f>
        <v>8.657648419585549</v>
      </c>
      <c r="S27" s="28">
        <f>'VMT Bridge BCA'!S27+'VMT Holabird BCA'!S27+'Bridge State of Good Repair'!S27+'Keith State of Good Repair'!S27</f>
        <v>941504.5450201984</v>
      </c>
      <c r="T27" s="91">
        <f>'VMT Bridge BCA'!T27+'VMT Holabird BCA'!T27+'Bridge State of Good Repair'!T27+'Keith State of Good Repair'!T27</f>
        <v>1647409.376327531</v>
      </c>
      <c r="U27" s="27">
        <f>'VMT Bridge BCA'!U27+'VMT Holabird BCA'!U27+'Bridge State of Good Repair'!U27+'Keith State of Good Repair'!U27</f>
        <v>666.6389283080871</v>
      </c>
      <c r="V27" s="28">
        <f>'VMT Bridge BCA'!V27+'VMT Holabird BCA'!V27+'Bridge State of Good Repair'!V27+'Keith State of Good Repair'!V27</f>
        <v>1648076.015255839</v>
      </c>
      <c r="W27" s="91">
        <f>'VMT Bridge BCA'!W27+'VMT Holabird BCA'!W27+'Bridge State of Good Repair'!W27+'Keith State of Good Repair'!W27</f>
        <v>103015.92910471246</v>
      </c>
      <c r="X27" s="27">
        <f>'VMT Bridge BCA'!X27+'VMT Holabird BCA'!X27+'Bridge State of Good Repair'!X27+'Keith State of Good Repair'!X27</f>
        <v>103.026016193068</v>
      </c>
      <c r="Y27" s="28">
        <f>'VMT Bridge BCA'!Y27+'VMT Holabird BCA'!Y27+'Bridge State of Good Repair'!Y27+'Keith State of Good Repair'!Y27</f>
        <v>103118.95512090552</v>
      </c>
      <c r="Z27" s="91">
        <f>'VMT Bridge BCA'!Z27+'VMT Holabird BCA'!Z27+'Bridge State of Good Repair'!Z27+'Keith State of Good Repair'!Z27</f>
        <v>402210.01885231206</v>
      </c>
      <c r="AA27" s="27">
        <f>'VMT Bridge BCA'!AA27+'VMT Holabird BCA'!AA27+'Bridge State of Good Repair'!AA27+'Keith State of Good Repair'!AA27</f>
        <v>115.14672398048779</v>
      </c>
      <c r="AB27" s="28">
        <f>'VMT Bridge BCA'!AB27+'VMT Holabird BCA'!AB27+'Bridge State of Good Repair'!AB27+'Keith State of Good Repair'!AB27</f>
        <v>402325.16557629255</v>
      </c>
      <c r="AC27" s="91">
        <f>'VMT Bridge BCA'!AC27+'VMT Holabird BCA'!AC27+'Bridge State of Good Repair'!AC27+'Keith State of Good Repair'!AC27</f>
        <v>246351.17412667617</v>
      </c>
      <c r="AD27" s="27">
        <f>'VMT Bridge BCA'!AD27+'VMT Holabird BCA'!AD27+'Bridge State of Good Repair'!AD27+'Keith State of Good Repair'!AD27</f>
        <v>7.791883577626993</v>
      </c>
      <c r="AE27" s="28">
        <f>'VMT Bridge BCA'!AE27+'VMT Holabird BCA'!AE27+'Bridge State of Good Repair'!AE27+'Keith State of Good Repair'!AE27</f>
        <v>246358.9660102538</v>
      </c>
      <c r="AF27" s="20">
        <f>'VMT Bridge BCA'!AF27+'VMT Holabird BCA'!AF27+'Bridge State of Good Repair'!AF27+'Keith State of Good Repair'!AF27</f>
        <v>1059980.5701969438</v>
      </c>
      <c r="AG27" s="20">
        <f>'VMT Bridge BCA'!AG27+'VMT Holabird BCA'!AG27+'Bridge State of Good Repair'!AG27+'Keith State of Good Repair'!AG27</f>
        <v>259.24889366272816</v>
      </c>
      <c r="AH27" s="28">
        <f>'VMT Bridge BCA'!AH27+'VMT Holabird BCA'!AH27+'Bridge State of Good Repair'!AH27+'Keith State of Good Repair'!AH27</f>
        <v>2184094.027326649</v>
      </c>
      <c r="AI27" s="28">
        <f>'VMT Bridge BCA'!AI27+'VMT Holabird BCA'!AI27+'Bridge State of Good Repair'!AI27+'Keith State of Good Repair'!AI27</f>
        <v>-258635.25912805428</v>
      </c>
      <c r="AJ27" s="28">
        <f>'VMT Bridge BCA'!AJ27+'VMT Holabird BCA'!AJ27+'Bridge State of Good Repair'!AJ27+'Keith State of Good Repair'!AJ27</f>
        <v>-47.70179643394198</v>
      </c>
      <c r="AK27" s="20">
        <f>'VMT Bridge BCA'!AK27+'VMT Holabird BCA'!AK27+'Bridge State of Good Repair'!AK27+'Keith State of Good Repair'!AK27</f>
        <v>98677632.46326315</v>
      </c>
      <c r="AL27" s="20">
        <f>'VMT Bridge BCA'!AL27+'VMT Holabird BCA'!AL27+'Bridge State of Good Repair'!AL27+'Keith State of Good Repair'!AL27</f>
        <v>7066.305260694275</v>
      </c>
      <c r="AM27" s="212">
        <f>'VMT Bridge BCA'!AM27+'VMT Holabird BCA'!AM27</f>
        <v>79.32</v>
      </c>
      <c r="AN27" s="28">
        <f>'VMT Bridge BCA'!AN27+'VMT Holabird BCA'!AN27+'Bridge State of Good Repair'!AN27+'Keith State of Good Repair'!AN27</f>
        <v>280249.6666391349</v>
      </c>
      <c r="AO27" s="67">
        <f t="shared" si="0"/>
        <v>0.5066917484296947</v>
      </c>
      <c r="AP27" s="28">
        <f>'VMT Bridge BCA'!AP27+'VMT Holabird BCA'!AP27+'Bridge State of Good Repair'!AP27+'Keith State of Good Repair'!AP27</f>
        <v>477052.5840707885</v>
      </c>
      <c r="AQ27" s="28">
        <f>'VMT Bridge BCA'!AQ27+'VMT Holabird BCA'!AQ27+'Bridge State of Good Repair'!AQ27+'Keith State of Good Repair'!AQ27</f>
        <v>835066.5177150253</v>
      </c>
      <c r="AR27" s="28">
        <f>'VMT Bridge BCA'!AR27+'VMT Holabird BCA'!AR27+'Bridge State of Good Repair'!AR27+'Keith State of Good Repair'!AR27</f>
        <v>52249.523666454836</v>
      </c>
      <c r="AS27" s="28">
        <f>'VMT Bridge BCA'!AS27+'VMT Holabird BCA'!AS27+'Bridge State of Good Repair'!AS27+'Keith State of Good Repair'!AS27</f>
        <v>203854.84158311808</v>
      </c>
      <c r="AT27" s="28">
        <f>'VMT Bridge BCA'!AT27+'VMT Holabird BCA'!AT27+'Bridge State of Good Repair'!AT27+'Keith State of Good Repair'!AT27</f>
        <v>124828.05522906722</v>
      </c>
      <c r="AU27" s="28">
        <f>'VMT Bridge BCA'!AU27+'VMT Holabird BCA'!AU27+'Bridge State of Good Repair'!AU27+'Keith State of Good Repair'!AU27</f>
        <v>1106662.4214409932</v>
      </c>
      <c r="AV27" s="28">
        <f>'VMT Bridge BCA'!AV27+'VMT Holabird BCA'!AV27+'Bridge State of Good Repair'!AV27+'Keith State of Good Repair'!AV27</f>
        <v>-131048.35165316096</v>
      </c>
      <c r="AW27" s="28">
        <f>'VMT Bridge BCA'!AW27+'VMT Holabird BCA'!AW27+'Bridge State of Good Repair'!AW27+'Keith State of Good Repair'!AW27</f>
        <v>-24.170106638351434</v>
      </c>
      <c r="AX27" s="28">
        <f>'VMT Bridge BCA'!AX27+'VMT Holabird BCA'!AX27+'Bridge State of Good Repair'!AX27+'Keith State of Good Repair'!AX27</f>
        <v>142000.19358622233</v>
      </c>
      <c r="AY27" s="67">
        <f t="shared" si="1"/>
        <v>0.2109468833452121</v>
      </c>
      <c r="AZ27" s="28">
        <f>'VMT Bridge BCA'!AZ27+'VMT Holabird BCA'!AZ27+'Bridge State of Good Repair'!AZ27+'Keith State of Good Repair'!AZ27</f>
        <v>198607.44942736282</v>
      </c>
      <c r="BA27" s="28">
        <f>'VMT Bridge BCA'!BA27+'VMT Holabird BCA'!BA27+'Bridge State of Good Repair'!BA27+'Keith State of Good Repair'!BA27</f>
        <v>347656.49893421546</v>
      </c>
      <c r="BB27" s="28">
        <f>'VMT Bridge BCA'!BB27+'VMT Holabird BCA'!BB27+'Bridge State of Good Repair'!BB27+'Keith State of Good Repair'!BB27</f>
        <v>21752.62219656982</v>
      </c>
      <c r="BC27" s="28">
        <f>'VMT Bridge BCA'!BC27+'VMT Holabird BCA'!BC27+'Bridge State of Good Repair'!BC27+'Keith State of Good Repair'!BC27</f>
        <v>84869.23976966534</v>
      </c>
      <c r="BD27" s="28">
        <f>'VMT Bridge BCA'!BD27+'VMT Holabird BCA'!BD27+'Bridge State of Good Repair'!BD27+'Keith State of Good Repair'!BD27</f>
        <v>51968.65606401208</v>
      </c>
      <c r="BE27" s="28">
        <f>'VMT Bridge BCA'!BE27+'VMT Holabird BCA'!BE27+'Bridge State of Good Repair'!BE27+'Keith State of Good Repair'!BE27</f>
        <v>460727.8279974492</v>
      </c>
      <c r="BF27" s="28">
        <f>'VMT Bridge BCA'!BF27+'VMT Holabird BCA'!BF27+'Bridge State of Good Repair'!BF27+'Keith State of Good Repair'!BF27</f>
        <v>-54558.301836244376</v>
      </c>
      <c r="BG27" s="28">
        <f>'VMT Bridge BCA'!BG27+'VMT Holabird BCA'!BG27+'Bridge State of Good Repair'!BG27+'Keith State of Good Repair'!BG27</f>
        <v>-10.062545287707813</v>
      </c>
      <c r="BH27" s="28">
        <f>'VMT Bridge BCA'!BH27+'VMT Holabird BCA'!BH27+'Bridge State of Good Repair'!BH27+'Keith State of Good Repair'!BH27</f>
        <v>59117.79373606017</v>
      </c>
      <c r="BI27" s="28">
        <f>'VMT Bridge BCA'!BI27+'VMT Holabird BCA'!BI27+'Bridge State of Good Repair'!BI27+'Keith State of Good Repair'!BI27</f>
        <v>100000</v>
      </c>
      <c r="BJ27" s="28">
        <f>'VMT Bridge BCA'!BJ27+'VMT Holabird BCA'!BJ27+'Bridge State of Good Repair'!BJ27+'Keith State of Good Repair'!BJ27</f>
        <v>50669.17484296946</v>
      </c>
      <c r="BK27" s="28">
        <f>'VMT Bridge BCA'!BK27+'VMT Holabird BCA'!BK27+'Bridge State of Good Repair'!BK27+'Keith State of Good Repair'!BK27</f>
        <v>21094.68833452121</v>
      </c>
      <c r="BL27" s="28">
        <f>'VMT Bridge BCA'!BL27+'VMT Holabird BCA'!BL27+'Bridge State of Good Repair'!BL27+'Keith State of Good Repair'!BL27</f>
        <v>6500</v>
      </c>
      <c r="BM27" s="28">
        <f>'VMT Bridge BCA'!BM27+'VMT Holabird BCA'!BM27+'Bridge State of Good Repair'!BM27+'Keith State of Good Repair'!BM27</f>
        <v>3293.4963647930153</v>
      </c>
      <c r="BN27" s="28">
        <f>'VMT Bridge BCA'!BN27+'VMT Holabird BCA'!BN27+'Bridge State of Good Repair'!BN27+'Keith State of Good Repair'!BN27</f>
        <v>1371.1547417438787</v>
      </c>
      <c r="BO27" s="88">
        <f>'Complete Streets Bio Retention'!$A$21</f>
        <v>15736.62181254302</v>
      </c>
      <c r="BP27" s="97">
        <f t="shared" si="2"/>
        <v>7973.616420574293</v>
      </c>
      <c r="BQ27" s="97">
        <f t="shared" si="3"/>
        <v>3319.591325738233</v>
      </c>
    </row>
    <row r="28" spans="1:69" s="9" customFormat="1" ht="15">
      <c r="A28" s="72">
        <v>2039</v>
      </c>
      <c r="B28" s="98">
        <v>24</v>
      </c>
      <c r="C28" s="220">
        <f>'VMT Bridge BCA'!C28+'VMT Holabird BCA'!C28+'Bridge State of Good Repair'!C28+'Keith State of Good Repair'!C28</f>
        <v>658745</v>
      </c>
      <c r="D28" s="64">
        <f>'VMT Bridge BCA'!D28+'VMT Holabird BCA'!D28+'Bridge State of Good Repair'!D28+'Keith State of Good Repair'!D28</f>
        <v>5429</v>
      </c>
      <c r="E28" s="220">
        <f>'VMT Bridge BCA'!E28+'VMT Holabird BCA'!E28+'Bridge State of Good Repair'!E28+'Keith State of Good Repair'!E28</f>
        <v>6637600.237381052</v>
      </c>
      <c r="F28" s="241">
        <f>'VMT Bridge BCA'!F28+'VMT Holabird BCA'!F28+'Bridge State of Good Repair'!F28+'Keith State of Good Repair'!F28</f>
        <v>6415.409296842104</v>
      </c>
      <c r="G28" s="9">
        <v>0.56</v>
      </c>
      <c r="H28" s="9">
        <v>0.27</v>
      </c>
      <c r="I28" s="9">
        <v>0.01</v>
      </c>
      <c r="J28" s="9">
        <v>0.06</v>
      </c>
      <c r="K28" s="9">
        <v>0.04</v>
      </c>
      <c r="L28" s="9">
        <v>0.001</v>
      </c>
      <c r="M28" s="9">
        <v>0.11</v>
      </c>
      <c r="N28" s="9">
        <v>0.02</v>
      </c>
      <c r="O28" s="9">
        <v>0.02</v>
      </c>
      <c r="P28" s="9">
        <v>0.0009</v>
      </c>
      <c r="Q28" s="91">
        <f>'VMT Bridge BCA'!Q28+'VMT Holabird BCA'!Q28+'Bridge State of Good Repair'!Q28+'Keith State of Good Repair'!Q28</f>
        <v>950911.2660496943</v>
      </c>
      <c r="R28" s="27">
        <f>'VMT Bridge BCA'!R28+'VMT Holabird BCA'!R28+'Bridge State of Good Repair'!R28+'Keith State of Good Repair'!R28</f>
        <v>8.744627585103245</v>
      </c>
      <c r="S28" s="28">
        <f>'VMT Bridge BCA'!S28+'VMT Holabird BCA'!S28+'Bridge State of Good Repair'!S28+'Keith State of Good Repair'!S28</f>
        <v>950920.0106772794</v>
      </c>
      <c r="T28" s="91">
        <f>'VMT Bridge BCA'!T28+'VMT Holabird BCA'!T28+'Bridge State of Good Repair'!T28+'Keith State of Good Repair'!T28</f>
        <v>1663883.9561359957</v>
      </c>
      <c r="U28" s="27">
        <f>'VMT Bridge BCA'!U28+'VMT Holabird BCA'!U28+'Bridge State of Good Repair'!U28+'Keith State of Good Repair'!U28</f>
        <v>673.3363240529497</v>
      </c>
      <c r="V28" s="28">
        <f>'VMT Bridge BCA'!V28+'VMT Holabird BCA'!V28+'Bridge State of Good Repair'!V28+'Keith State of Good Repair'!V28</f>
        <v>1664557.2924600488</v>
      </c>
      <c r="W28" s="91">
        <f>'VMT Bridge BCA'!W28+'VMT Holabird BCA'!W28+'Bridge State of Good Repair'!W28+'Keith State of Good Repair'!W28</f>
        <v>104046.11828546996</v>
      </c>
      <c r="X28" s="27">
        <f>'VMT Bridge BCA'!X28+'VMT Holabird BCA'!X28+'Bridge State of Good Repair'!X28+'Keith State of Good Repair'!X28</f>
        <v>104.0610682627286</v>
      </c>
      <c r="Y28" s="28">
        <f>'VMT Bridge BCA'!Y28+'VMT Holabird BCA'!Y28+'Bridge State of Good Repair'!Y28+'Keith State of Good Repair'!Y28</f>
        <v>104150.17935373269</v>
      </c>
      <c r="Z28" s="91">
        <f>'VMT Bridge BCA'!Z28+'VMT Holabird BCA'!Z28+'Bridge State of Good Repair'!Z28+'Keith State of Good Repair'!Z28</f>
        <v>406232.23574066104</v>
      </c>
      <c r="AA28" s="27">
        <f>'VMT Bridge BCA'!AA28+'VMT Holabird BCA'!AA28+'Bridge State of Good Repair'!AA28+'Keith State of Good Repair'!AA28</f>
        <v>116.30354688187316</v>
      </c>
      <c r="AB28" s="28">
        <f>'VMT Bridge BCA'!AB28+'VMT Holabird BCA'!AB28+'Bridge State of Good Repair'!AB28+'Keith State of Good Repair'!AB28</f>
        <v>406348.53928754287</v>
      </c>
      <c r="AC28" s="91">
        <f>'VMT Bridge BCA'!AC28+'VMT Holabird BCA'!AC28+'Bridge State of Good Repair'!AC28+'Keith State of Good Repair'!AC28</f>
        <v>248814.75874466836</v>
      </c>
      <c r="AD28" s="27">
        <f>'VMT Bridge BCA'!AD28+'VMT Holabird BCA'!AD28+'Bridge State of Good Repair'!AD28+'Keith State of Good Repair'!AD28</f>
        <v>7.87016482659292</v>
      </c>
      <c r="AE28" s="28">
        <f>'VMT Bridge BCA'!AE28+'VMT Holabird BCA'!AE28+'Bridge State of Good Repair'!AE28+'Keith State of Good Repair'!AE28</f>
        <v>248822.62890949493</v>
      </c>
      <c r="AF28" s="20">
        <f>'VMT Bridge BCA'!AF28+'VMT Holabird BCA'!AF28+'Bridge State of Good Repair'!AF28+'Keith State of Good Repair'!AF28</f>
        <v>1070580.6834485568</v>
      </c>
      <c r="AG28" s="20">
        <f>'VMT Bridge BCA'!AG28+'VMT Holabird BCA'!AG28+'Bridge State of Good Repair'!AG28+'Keith State of Good Repair'!AG28</f>
        <v>261.8534406874328</v>
      </c>
      <c r="AH28" s="28">
        <f>'VMT Bridge BCA'!AH28+'VMT Holabird BCA'!AH28+'Bridge State of Good Repair'!AH28+'Keith State of Good Repair'!AH28</f>
        <v>2205935.625991843</v>
      </c>
      <c r="AI28" s="28">
        <f>'VMT Bridge BCA'!AI28+'VMT Holabird BCA'!AI28+'Bridge State of Good Repair'!AI28+'Keith State of Good Repair'!AI28</f>
        <v>-261221.68676144784</v>
      </c>
      <c r="AJ28" s="28">
        <f>'VMT Bridge BCA'!AJ28+'VMT Holabird BCA'!AJ28+'Bridge State of Good Repair'!AJ28+'Keith State of Good Repair'!AJ28</f>
        <v>-48.18103308648763</v>
      </c>
      <c r="AK28" s="20">
        <f>'VMT Bridge BCA'!AK28+'VMT Holabird BCA'!AK28+'Bridge State of Good Repair'!AK28+'Keith State of Good Repair'!AK28</f>
        <v>99664453.34286314</v>
      </c>
      <c r="AL28" s="20">
        <f>'VMT Bridge BCA'!AL28+'VMT Holabird BCA'!AL28+'Bridge State of Good Repair'!AL28+'Keith State of Good Repair'!AL28</f>
        <v>7136.971503882431</v>
      </c>
      <c r="AM28" s="212">
        <f>'VMT Bridge BCA'!AM28+'VMT Holabird BCA'!AM28</f>
        <v>80.46</v>
      </c>
      <c r="AN28" s="28">
        <f>'VMT Bridge BCA'!AN28+'VMT Holabird BCA'!AN28+'Bridge State of Good Repair'!AN28+'Keith State of Good Repair'!AN28</f>
        <v>287120.36360119015</v>
      </c>
      <c r="AO28" s="67">
        <f t="shared" si="0"/>
        <v>0.49193373633950943</v>
      </c>
      <c r="AP28" s="28">
        <f>'VMT Bridge BCA'!AP28+'VMT Holabird BCA'!AP28+'Bridge State of Good Repair'!AP28+'Keith State of Good Repair'!AP28</f>
        <v>467789.63381248026</v>
      </c>
      <c r="AQ28" s="28">
        <f>'VMT Bridge BCA'!AQ28+'VMT Holabird BCA'!AQ28+'Bridge State of Good Repair'!AQ28+'Keith State of Good Repair'!AQ28</f>
        <v>818851.8882310493</v>
      </c>
      <c r="AR28" s="28">
        <f>'VMT Bridge BCA'!AR28+'VMT Holabird BCA'!AR28+'Bridge State of Good Repair'!AR28+'Keith State of Good Repair'!AR28</f>
        <v>51234.98686991175</v>
      </c>
      <c r="AS28" s="28">
        <f>'VMT Bridge BCA'!AS28+'VMT Holabird BCA'!AS28+'Bridge State of Good Repair'!AS28+'Keith State of Good Repair'!AS28</f>
        <v>199896.5551878229</v>
      </c>
      <c r="AT28" s="28">
        <f>'VMT Bridge BCA'!AT28+'VMT Holabird BCA'!AT28+'Bridge State of Good Repair'!AT28+'Keith State of Good Repair'!AT28</f>
        <v>122404.24552526708</v>
      </c>
      <c r="AU28" s="28">
        <f>'VMT Bridge BCA'!AU28+'VMT Holabird BCA'!AU28+'Bridge State of Good Repair'!AU28+'Keith State of Good Repair'!AU28</f>
        <v>1085174.1546186022</v>
      </c>
      <c r="AV28" s="28">
        <f>'VMT Bridge BCA'!AV28+'VMT Holabird BCA'!AV28+'Bridge State of Good Repair'!AV28+'Keith State of Good Repair'!AV28</f>
        <v>-128503.76038146799</v>
      </c>
      <c r="AW28" s="28">
        <f>'VMT Bridge BCA'!AW28+'VMT Holabird BCA'!AW28+'Bridge State of Good Repair'!AW28+'Keith State of Good Repair'!AW28</f>
        <v>-23.701875626933386</v>
      </c>
      <c r="AX28" s="28">
        <f>'VMT Bridge BCA'!AX28+'VMT Holabird BCA'!AX28+'Bridge State of Good Repair'!AX28+'Keith State of Good Repair'!AX28</f>
        <v>141244.19324549197</v>
      </c>
      <c r="AY28" s="67">
        <f t="shared" si="1"/>
        <v>0.19714661994879637</v>
      </c>
      <c r="AZ28" s="28">
        <f>'VMT Bridge BCA'!AZ28+'VMT Holabird BCA'!AZ28+'Bridge State of Good Repair'!AZ28+'Keith State of Good Repair'!AZ28</f>
        <v>187470.66594669898</v>
      </c>
      <c r="BA28" s="28">
        <f>'VMT Bridge BCA'!BA28+'VMT Holabird BCA'!BA28+'Bridge State of Good Repair'!BA28+'Keith State of Good Repair'!BA28</f>
        <v>328161.8439196187</v>
      </c>
      <c r="BB28" s="28">
        <f>'VMT Bridge BCA'!BB28+'VMT Holabird BCA'!BB28+'Bridge State of Good Repair'!BB28+'Keith State of Good Repair'!BB28</f>
        <v>20532.855826649316</v>
      </c>
      <c r="BC28" s="28">
        <f>'VMT Bridge BCA'!BC28+'VMT Holabird BCA'!BC28+'Bridge State of Good Repair'!BC28+'Keith State of Good Repair'!BC28</f>
        <v>80110.24104166977</v>
      </c>
      <c r="BD28" s="28">
        <f>'VMT Bridge BCA'!BD28+'VMT Holabird BCA'!BD28+'Bridge State of Good Repair'!BD28+'Keith State of Good Repair'!BD28</f>
        <v>49054.54025628059</v>
      </c>
      <c r="BE28" s="28">
        <f>'VMT Bridge BCA'!BE28+'VMT Holabird BCA'!BE28+'Bridge State of Good Repair'!BE28+'Keith State of Good Repair'!BE28</f>
        <v>434892.75248892413</v>
      </c>
      <c r="BF28" s="28">
        <f>'VMT Bridge BCA'!BF28+'VMT Holabird BCA'!BF28+'Bridge State of Good Repair'!BF28+'Keith State of Good Repair'!BF28</f>
        <v>-51498.97260234269</v>
      </c>
      <c r="BG28" s="28">
        <f>'VMT Bridge BCA'!BG28+'VMT Holabird BCA'!BG28+'Bridge State of Good Repair'!BG28+'Keith State of Good Repair'!BG28</f>
        <v>-9.49872781864216</v>
      </c>
      <c r="BH28" s="28">
        <f>'VMT Bridge BCA'!BH28+'VMT Holabird BCA'!BH28+'Bridge State of Good Repair'!BH28+'Keith State of Good Repair'!BH28</f>
        <v>56604.809202444056</v>
      </c>
      <c r="BI28" s="28">
        <f>'VMT Bridge BCA'!BI28+'VMT Holabird BCA'!BI28+'Bridge State of Good Repair'!BI28+'Keith State of Good Repair'!BI28</f>
        <v>100000</v>
      </c>
      <c r="BJ28" s="28">
        <f>'VMT Bridge BCA'!BJ28+'VMT Holabird BCA'!BJ28+'Bridge State of Good Repair'!BJ28+'Keith State of Good Repair'!BJ28</f>
        <v>49193.37363395094</v>
      </c>
      <c r="BK28" s="28">
        <f>'VMT Bridge BCA'!BK28+'VMT Holabird BCA'!BK28+'Bridge State of Good Repair'!BK28+'Keith State of Good Repair'!BK28</f>
        <v>19714.661994879636</v>
      </c>
      <c r="BL28" s="28">
        <f>'VMT Bridge BCA'!BL28+'VMT Holabird BCA'!BL28+'Bridge State of Good Repair'!BL28+'Keith State of Good Repair'!BL28</f>
        <v>6500</v>
      </c>
      <c r="BM28" s="28">
        <f>'VMT Bridge BCA'!BM28+'VMT Holabird BCA'!BM28+'Bridge State of Good Repair'!BM28+'Keith State of Good Repair'!BM28</f>
        <v>3197.5692862068113</v>
      </c>
      <c r="BN28" s="28">
        <f>'VMT Bridge BCA'!BN28+'VMT Holabird BCA'!BN28+'Bridge State of Good Repair'!BN28+'Keith State of Good Repair'!BN28</f>
        <v>1281.4530296671765</v>
      </c>
      <c r="BO28" s="88">
        <f>'Complete Streets Bio Retention'!$A$21</f>
        <v>15736.62181254302</v>
      </c>
      <c r="BP28" s="97">
        <f t="shared" si="2"/>
        <v>7741.375165606111</v>
      </c>
      <c r="BQ28" s="97">
        <f t="shared" si="3"/>
        <v>3102.421799755358</v>
      </c>
    </row>
    <row r="29" spans="1:69" s="9" customFormat="1" ht="15">
      <c r="A29" s="71">
        <v>2040</v>
      </c>
      <c r="B29" s="99">
        <v>25</v>
      </c>
      <c r="C29" s="220">
        <f>'VMT Bridge BCA'!C29+'VMT Holabird BCA'!C29+'Bridge State of Good Repair'!C29+'Keith State of Good Repair'!C29</f>
        <v>665333</v>
      </c>
      <c r="D29" s="64">
        <f>'VMT Bridge BCA'!D29+'VMT Holabird BCA'!D29+'Bridge State of Good Repair'!D29+'Keith State of Good Repair'!D29</f>
        <v>5484</v>
      </c>
      <c r="E29" s="220">
        <f>'VMT Bridge BCA'!E29+'VMT Holabird BCA'!E29+'Bridge State of Good Repair'!E29+'Keith State of Good Repair'!E29</f>
        <v>6703974.099541052</v>
      </c>
      <c r="F29" s="241">
        <f>'VMT Bridge BCA'!F29+'VMT Holabird BCA'!F29+'Bridge State of Good Repair'!F29+'Keith State of Good Repair'!F29</f>
        <v>6480.402391578946</v>
      </c>
      <c r="G29" s="9">
        <v>0.56</v>
      </c>
      <c r="H29" s="9">
        <v>0.27</v>
      </c>
      <c r="I29" s="9">
        <v>0.01</v>
      </c>
      <c r="J29" s="9">
        <v>0.06</v>
      </c>
      <c r="K29" s="9">
        <v>0.04</v>
      </c>
      <c r="L29" s="9">
        <v>0.001</v>
      </c>
      <c r="M29" s="9">
        <v>0.11</v>
      </c>
      <c r="N29" s="9">
        <v>0.02</v>
      </c>
      <c r="O29" s="9">
        <v>0.02</v>
      </c>
      <c r="P29" s="9">
        <v>0.0009</v>
      </c>
      <c r="Q29" s="91">
        <f>'VMT Bridge BCA'!Q29+'VMT Holabird BCA'!Q29+'Bridge State of Good Repair'!Q29+'Keith State of Good Repair'!Q29</f>
        <v>960420.1262612683</v>
      </c>
      <c r="R29" s="27">
        <f>'VMT Bridge BCA'!R29+'VMT Holabird BCA'!R29+'Bridge State of Good Repair'!R29+'Keith State of Good Repair'!R29</f>
        <v>8.833217475908306</v>
      </c>
      <c r="S29" s="28">
        <f>'VMT Bridge BCA'!S29+'VMT Holabird BCA'!S29+'Bridge State of Good Repair'!S29+'Keith State of Good Repair'!S29</f>
        <v>960428.9594787442</v>
      </c>
      <c r="T29" s="91">
        <f>'VMT Bridge BCA'!T29+'VMT Holabird BCA'!T29+'Bridge State of Good Repair'!T29+'Keith State of Good Repair'!T29</f>
        <v>1680522.2621734112</v>
      </c>
      <c r="U29" s="27">
        <f>'VMT Bridge BCA'!U29+'VMT Holabird BCA'!U29+'Bridge State of Good Repair'!U29+'Keith State of Good Repair'!U29</f>
        <v>680.1577456449395</v>
      </c>
      <c r="V29" s="28">
        <f>'VMT Bridge BCA'!V29+'VMT Holabird BCA'!V29+'Bridge State of Good Repair'!V29+'Keith State of Good Repair'!V29</f>
        <v>1681202.4199190561</v>
      </c>
      <c r="W29" s="91">
        <f>'VMT Bridge BCA'!W29+'VMT Holabird BCA'!W29+'Bridge State of Good Repair'!W29+'Keith State of Good Repair'!W29</f>
        <v>105086.5459199139</v>
      </c>
      <c r="X29" s="27">
        <f>'VMT Bridge BCA'!X29+'VMT Holabird BCA'!X29+'Bridge State of Good Repair'!X29+'Keith State of Good Repair'!X29</f>
        <v>105.11528796330883</v>
      </c>
      <c r="Y29" s="28">
        <f>'VMT Bridge BCA'!Y29+'VMT Holabird BCA'!Y29+'Bridge State of Good Repair'!Y29+'Keith State of Good Repair'!Y29</f>
        <v>105191.6612078772</v>
      </c>
      <c r="Z29" s="91">
        <f>'VMT Bridge BCA'!Z29+'VMT Holabird BCA'!Z29+'Bridge State of Good Repair'!Z29+'Keith State of Good Repair'!Z29</f>
        <v>410294.427113403</v>
      </c>
      <c r="AA29" s="27">
        <f>'VMT Bridge BCA'!AA29+'VMT Holabird BCA'!AA29+'Bridge State of Good Repair'!AA29+'Keith State of Good Repair'!AA29</f>
        <v>117.48179242958048</v>
      </c>
      <c r="AB29" s="28">
        <f>'VMT Bridge BCA'!AB29+'VMT Holabird BCA'!AB29+'Bridge State of Good Repair'!AB29+'Keith State of Good Repair'!AB29</f>
        <v>410411.90890583256</v>
      </c>
      <c r="AC29" s="91">
        <f>'VMT Bridge BCA'!AC29+'VMT Holabird BCA'!AC29+'Bridge State of Good Repair'!AC29+'Keith State of Good Repair'!AC29</f>
        <v>251302.82662147586</v>
      </c>
      <c r="AD29" s="27">
        <f>'VMT Bridge BCA'!AD29+'VMT Holabird BCA'!AD29+'Bridge State of Good Repair'!AD29+'Keith State of Good Repair'!AD29</f>
        <v>7.949895728317475</v>
      </c>
      <c r="AE29" s="28">
        <f>'VMT Bridge BCA'!AE29+'VMT Holabird BCA'!AE29+'Bridge State of Good Repair'!AE29+'Keith State of Good Repair'!AE29</f>
        <v>251310.77651720418</v>
      </c>
      <c r="AF29" s="20">
        <f>'VMT Bridge BCA'!AF29+'VMT Holabird BCA'!AF29+'Bridge State of Good Repair'!AF29+'Keith State of Good Repair'!AF29</f>
        <v>1081286.1450872663</v>
      </c>
      <c r="AG29" s="20">
        <f>'VMT Bridge BCA'!AG29+'VMT Holabird BCA'!AG29+'Bridge State of Good Repair'!AG29+'Keith State of Good Repair'!AG29</f>
        <v>264.5062200644468</v>
      </c>
      <c r="AH29" s="28">
        <f>'VMT Bridge BCA'!AH29+'VMT Holabird BCA'!AH29+'Bridge State of Good Repair'!AH29+'Keith State of Good Repair'!AH29</f>
        <v>2227994.341693102</v>
      </c>
      <c r="AI29" s="28">
        <f>'VMT Bridge BCA'!AI29+'VMT Holabird BCA'!AI29+'Bridge State of Good Repair'!AI29+'Keith State of Good Repair'!AI29</f>
        <v>-263833.819401293</v>
      </c>
      <c r="AJ29" s="28">
        <f>'VMT Bridge BCA'!AJ29+'VMT Holabird BCA'!AJ29+'Bridge State of Good Repair'!AJ29+'Keith State of Good Repair'!AJ29</f>
        <v>-48.669144491858205</v>
      </c>
      <c r="AK29" s="20">
        <f>'VMT Bridge BCA'!AK29+'VMT Holabird BCA'!AK29+'Bridge State of Good Repair'!AK29+'Keith State of Good Repair'!AK29</f>
        <v>100661071.62246315</v>
      </c>
      <c r="AL29" s="20">
        <f>'VMT Bridge BCA'!AL29+'VMT Holabird BCA'!AL29+'Bridge State of Good Repair'!AL29+'Keith State of Good Repair'!AL29</f>
        <v>7208.339338884586</v>
      </c>
      <c r="AM29" s="212">
        <f>'VMT Bridge BCA'!AM29+'VMT Holabird BCA'!AM29</f>
        <v>81.6</v>
      </c>
      <c r="AN29" s="28">
        <f>'VMT Bridge BCA'!AN29+'VMT Holabird BCA'!AN29+'Bridge State of Good Repair'!AN29+'Keith State of Good Repair'!AN29</f>
        <v>294100.2450264911</v>
      </c>
      <c r="AO29" s="67">
        <f t="shared" si="0"/>
        <v>0.47760556926165965</v>
      </c>
      <c r="AP29" s="28">
        <f>'VMT Bridge BCA'!AP29+'VMT Holabird BCA'!AP29+'Bridge State of Good Repair'!AP29+'Keith State of Good Repair'!AP29</f>
        <v>458706.21992722905</v>
      </c>
      <c r="AQ29" s="28">
        <f>'VMT Bridge BCA'!AQ29+'VMT Holabird BCA'!AQ29+'Bridge State of Good Repair'!AQ29+'Keith State of Good Repair'!AQ29</f>
        <v>802951.6388095206</v>
      </c>
      <c r="AR29" s="28">
        <f>'VMT Bridge BCA'!AR29+'VMT Holabird BCA'!AR29+'Bridge State of Good Repair'!AR29+'Keith State of Good Repair'!AR29</f>
        <v>50240.12323276783</v>
      </c>
      <c r="AS29" s="28">
        <f>'VMT Bridge BCA'!AS29+'VMT Holabird BCA'!AS29+'Bridge State of Good Repair'!AS29+'Keith State of Good Repair'!AS29</f>
        <v>196015.01338473454</v>
      </c>
      <c r="AT29" s="28">
        <f>'VMT Bridge BCA'!AT29+'VMT Holabird BCA'!AT29+'Bridge State of Good Repair'!AT29+'Keith State of Good Repair'!AT29</f>
        <v>120027.42648008904</v>
      </c>
      <c r="AU29" s="28">
        <f>'VMT Bridge BCA'!AU29+'VMT Holabird BCA'!AU29+'Bridge State of Good Repair'!AU29+'Keith State of Good Repair'!AU29</f>
        <v>1064102.5058760904</v>
      </c>
      <c r="AV29" s="28">
        <f>'VMT Bridge BCA'!AV29+'VMT Holabird BCA'!AV29+'Bridge State of Good Repair'!AV29+'Keith State of Good Repair'!AV29</f>
        <v>-126008.50150563243</v>
      </c>
      <c r="AW29" s="28">
        <f>'VMT Bridge BCA'!AW29+'VMT Holabird BCA'!AW29+'Bridge State of Good Repair'!AW29+'Keith State of Good Repair'!AW29</f>
        <v>-23.244654460511907</v>
      </c>
      <c r="AX29" s="28">
        <f>'VMT Bridge BCA'!AX29+'VMT Holabird BCA'!AX29+'Bridge State of Good Repair'!AX29+'Keith State of Good Repair'!AX29</f>
        <v>140463.91494587087</v>
      </c>
      <c r="AY29" s="67">
        <f t="shared" si="1"/>
        <v>0.18424917752223957</v>
      </c>
      <c r="AZ29" s="28">
        <f>'VMT Bridge BCA'!AZ29+'VMT Holabird BCA'!AZ29+'Bridge State of Good Repair'!AZ29+'Keith State of Good Repair'!AZ29</f>
        <v>176958.24585249898</v>
      </c>
      <c r="BA29" s="28">
        <f>'VMT Bridge BCA'!BA29+'VMT Holabird BCA'!BA29+'Bridge State of Good Repair'!BA29+'Keith State of Good Repair'!BA29</f>
        <v>309760.16311848495</v>
      </c>
      <c r="BB29" s="28">
        <f>'VMT Bridge BCA'!BB29+'VMT Holabird BCA'!BB29+'Bridge State of Good Repair'!BB29+'Keith State of Good Repair'!BB29</f>
        <v>19381.47705974945</v>
      </c>
      <c r="BC29" s="28">
        <f>'VMT Bridge BCA'!BC29+'VMT Holabird BCA'!BC29+'Bridge State of Good Repair'!BC29+'Keith State of Good Repair'!BC29</f>
        <v>75618.05666123195</v>
      </c>
      <c r="BD29" s="28">
        <f>'VMT Bridge BCA'!BD29+'VMT Holabird BCA'!BD29+'Bridge State of Good Repair'!BD29+'Keith State of Good Repair'!BD29</f>
        <v>46303.80387577023</v>
      </c>
      <c r="BE29" s="28">
        <f>'VMT Bridge BCA'!BE29+'VMT Holabird BCA'!BE29+'Bridge State of Good Repair'!BE29+'Keith State of Good Repair'!BE29</f>
        <v>410506.1249811576</v>
      </c>
      <c r="BF29" s="28">
        <f>'VMT Bridge BCA'!BF29+'VMT Holabird BCA'!BF29+'Bridge State of Good Repair'!BF29+'Keith State of Good Repair'!BF29</f>
        <v>-48611.16422723933</v>
      </c>
      <c r="BG29" s="28">
        <f>'VMT Bridge BCA'!BG29+'VMT Holabird BCA'!BG29+'Bridge State of Good Repair'!BG29+'Keith State of Good Repair'!BG29</f>
        <v>-8.96724984333591</v>
      </c>
      <c r="BH29" s="28">
        <f>'VMT Bridge BCA'!BH29+'VMT Holabird BCA'!BH29+'Bridge State of Good Repair'!BH29+'Keith State of Good Repair'!BH29</f>
        <v>54187.728255220114</v>
      </c>
      <c r="BI29" s="28">
        <f>'VMT Bridge BCA'!BI29+'VMT Holabird BCA'!BI29+'Bridge State of Good Repair'!BI29+'Keith State of Good Repair'!BI29</f>
        <v>100000</v>
      </c>
      <c r="BJ29" s="28">
        <f>'VMT Bridge BCA'!BJ29+'VMT Holabird BCA'!BJ29+'Bridge State of Good Repair'!BJ29+'Keith State of Good Repair'!BJ29</f>
        <v>47760.55692616596</v>
      </c>
      <c r="BK29" s="28">
        <f>'VMT Bridge BCA'!BK29+'VMT Holabird BCA'!BK29+'Bridge State of Good Repair'!BK29+'Keith State of Good Repair'!BK29</f>
        <v>18424.91775222396</v>
      </c>
      <c r="BL29" s="28">
        <f>'VMT Bridge BCA'!BL29+'VMT Holabird BCA'!BL29+'Bridge State of Good Repair'!BL29+'Keith State of Good Repair'!BL29</f>
        <v>2005000</v>
      </c>
      <c r="BM29" s="28">
        <f>'VMT Bridge BCA'!BM29+'VMT Holabird BCA'!BM29+'Bridge State of Good Repair'!BM29+'Keith State of Good Repair'!BM29</f>
        <v>957599.1663696276</v>
      </c>
      <c r="BN29" s="28">
        <f>'VMT Bridge BCA'!BN29+'VMT Holabird BCA'!BN29+'Bridge State of Good Repair'!BN29+'Keith State of Good Repair'!BN29</f>
        <v>369419.6009320903</v>
      </c>
      <c r="BO29" s="88">
        <f>'Complete Streets Bio Retention'!$A$21</f>
        <v>15736.62181254302</v>
      </c>
      <c r="BP29" s="97">
        <f t="shared" si="2"/>
        <v>7515.89821903506</v>
      </c>
      <c r="BQ29" s="97">
        <f t="shared" si="3"/>
        <v>2899.459625939586</v>
      </c>
    </row>
    <row r="30" spans="1:69" s="9" customFormat="1" ht="15">
      <c r="A30" s="72">
        <v>2041</v>
      </c>
      <c r="B30" s="99">
        <v>26</v>
      </c>
      <c r="C30" s="220">
        <f>'VMT Bridge BCA'!C30+'VMT Holabird BCA'!C30+'Bridge State of Good Repair'!C30+'Keith State of Good Repair'!C30</f>
        <v>671986</v>
      </c>
      <c r="D30" s="64">
        <f>'VMT Bridge BCA'!D30+'VMT Holabird BCA'!D30+'Bridge State of Good Repair'!D30+'Keith State of Good Repair'!D30</f>
        <v>5538</v>
      </c>
      <c r="E30" s="220">
        <f>'VMT Bridge BCA'!E30+'VMT Holabird BCA'!E30+'Bridge State of Good Repair'!E30+'Keith State of Good Repair'!E30</f>
        <v>6771012.4517010525</v>
      </c>
      <c r="F30" s="241">
        <f>'VMT Bridge BCA'!F30+'VMT Holabird BCA'!F30+'Bridge State of Good Repair'!F30+'Keith State of Good Repair'!F30</f>
        <v>6544.213793684209</v>
      </c>
      <c r="G30" s="9">
        <v>0.56</v>
      </c>
      <c r="H30" s="9">
        <v>0.27</v>
      </c>
      <c r="I30" s="9">
        <v>0.01</v>
      </c>
      <c r="J30" s="9">
        <v>0.06</v>
      </c>
      <c r="K30" s="9">
        <v>0.04</v>
      </c>
      <c r="L30" s="9">
        <v>0.001</v>
      </c>
      <c r="M30" s="9">
        <v>0.11</v>
      </c>
      <c r="N30" s="9">
        <v>0.02</v>
      </c>
      <c r="O30" s="9">
        <v>0.02</v>
      </c>
      <c r="P30" s="9">
        <v>0.0009</v>
      </c>
      <c r="Q30" s="91">
        <f>'VMT Bridge BCA'!Q30+'VMT Holabird BCA'!Q30+'Bridge State of Good Repair'!Q30+'Keith State of Good Repair'!Q30</f>
        <v>970024.0895782082</v>
      </c>
      <c r="R30" s="27">
        <f>'VMT Bridge BCA'!R30+'VMT Holabird BCA'!R30+'Bridge State of Good Repair'!R30+'Keith State of Good Repair'!R30</f>
        <v>8.920196641426003</v>
      </c>
      <c r="S30" s="28">
        <f>'VMT Bridge BCA'!S30+'VMT Holabird BCA'!S30+'Bridge State of Good Repair'!S30+'Keith State of Good Repair'!S30</f>
        <v>970033.0097748496</v>
      </c>
      <c r="T30" s="91">
        <f>'VMT Bridge BCA'!T30+'VMT Holabird BCA'!T30+'Bridge State of Good Repair'!T30+'Keith State of Good Repair'!T30</f>
        <v>1697327.1345067958</v>
      </c>
      <c r="U30" s="27">
        <f>'VMT Bridge BCA'!U30+'VMT Holabird BCA'!U30+'Bridge State of Good Repair'!U30+'Keith State of Good Repair'!U30</f>
        <v>686.8551413898022</v>
      </c>
      <c r="V30" s="28">
        <f>'VMT Bridge BCA'!V30+'VMT Holabird BCA'!V30+'Bridge State of Good Repair'!V30+'Keith State of Good Repair'!V30</f>
        <v>1698013.9896481857</v>
      </c>
      <c r="W30" s="91">
        <f>'VMT Bridge BCA'!W30+'VMT Holabird BCA'!W30+'Bridge State of Good Repair'!W30+'Keith State of Good Repair'!W30</f>
        <v>106137.38960875504</v>
      </c>
      <c r="X30" s="27">
        <f>'VMT Bridge BCA'!X30+'VMT Holabird BCA'!X30+'Bridge State of Good Repair'!X30+'Keith State of Good Repair'!X30</f>
        <v>106.15034003296942</v>
      </c>
      <c r="Y30" s="28">
        <f>'VMT Bridge BCA'!Y30+'VMT Holabird BCA'!Y30+'Bridge State of Good Repair'!Y30+'Keith State of Good Repair'!Y30</f>
        <v>106243.539948788</v>
      </c>
      <c r="Z30" s="91">
        <f>'VMT Bridge BCA'!Z30+'VMT Holabird BCA'!Z30+'Bridge State of Good Repair'!Z30+'Keith State of Good Repair'!Z30</f>
        <v>414397.28638548707</v>
      </c>
      <c r="AA30" s="27">
        <f>'VMT Bridge BCA'!AA30+'VMT Holabird BCA'!AA30+'Bridge State of Good Repair'!AA30+'Keith State of Good Repair'!AA30</f>
        <v>118.63861533096585</v>
      </c>
      <c r="AB30" s="28">
        <f>'VMT Bridge BCA'!AB30+'VMT Holabird BCA'!AB30+'Bridge State of Good Repair'!AB30+'Keith State of Good Repair'!AB30</f>
        <v>414515.92500081804</v>
      </c>
      <c r="AC30" s="91">
        <f>'VMT Bridge BCA'!AC30+'VMT Holabird BCA'!AC30+'Bridge State of Good Repair'!AC30+'Keith State of Good Repair'!AC30</f>
        <v>253815.80245445063</v>
      </c>
      <c r="AD30" s="27">
        <f>'VMT Bridge BCA'!AD30+'VMT Holabird BCA'!AD30+'Bridge State of Good Repair'!AD30+'Keith State of Good Repair'!AD30</f>
        <v>8.028176977283403</v>
      </c>
      <c r="AE30" s="28">
        <f>'VMT Bridge BCA'!AE30+'VMT Holabird BCA'!AE30+'Bridge State of Good Repair'!AE30+'Keith State of Good Repair'!AE30</f>
        <v>253823.8306314279</v>
      </c>
      <c r="AF30" s="20">
        <f>'VMT Bridge BCA'!AF30+'VMT Holabird BCA'!AF30+'Bridge State of Good Repair'!AF30+'Keith State of Good Repair'!AF30</f>
        <v>1092098.7825324277</v>
      </c>
      <c r="AG30" s="20">
        <f>'VMT Bridge BCA'!AG30+'VMT Holabird BCA'!AG30+'Bridge State of Good Repair'!AG30+'Keith State of Good Repair'!AG30</f>
        <v>267.1107670891514</v>
      </c>
      <c r="AH30" s="28">
        <f>'VMT Bridge BCA'!AH30+'VMT Holabird BCA'!AH30+'Bridge State of Good Repair'!AH30+'Keith State of Good Repair'!AH30</f>
        <v>2250273.740197005</v>
      </c>
      <c r="AI30" s="28">
        <f>'VMT Bridge BCA'!AI30+'VMT Holabird BCA'!AI30+'Bridge State of Good Repair'!AI30+'Keith State of Good Repair'!AI30</f>
        <v>-266472.10293791234</v>
      </c>
      <c r="AJ30" s="28">
        <f>'VMT Bridge BCA'!AJ30+'VMT Holabird BCA'!AJ30+'Bridge State of Good Repair'!AJ30+'Keith State of Good Repair'!AJ30</f>
        <v>-49.14838114440386</v>
      </c>
      <c r="AK30" s="20">
        <f>'VMT Bridge BCA'!AK30+'VMT Holabird BCA'!AK30+'Bridge State of Good Repair'!AK30+'Keith State of Good Repair'!AK30</f>
        <v>101667657.25206316</v>
      </c>
      <c r="AL30" s="20">
        <f>'VMT Bridge BCA'!AL30+'VMT Holabird BCA'!AL30+'Bridge State of Good Repair'!AL30+'Keith State of Good Repair'!AL30</f>
        <v>7280.420935820242</v>
      </c>
      <c r="AM30" s="212">
        <f>'VMT Bridge BCA'!AM30+'VMT Holabird BCA'!AM30</f>
        <v>82.74</v>
      </c>
      <c r="AN30" s="28">
        <f>'VMT Bridge BCA'!AN30+'VMT Holabird BCA'!AN30+'Bridge State of Good Repair'!AN30+'Keith State of Good Repair'!AN30</f>
        <v>301191.01411488344</v>
      </c>
      <c r="AO30" s="67">
        <f t="shared" si="0"/>
        <v>0.4636947274385045</v>
      </c>
      <c r="AP30" s="28">
        <f>'VMT Bridge BCA'!AP30+'VMT Holabird BCA'!AP30+'Bridge State of Good Repair'!AP30+'Keith State of Good Repair'!AP30</f>
        <v>449799.192073901</v>
      </c>
      <c r="AQ30" s="28">
        <f>'VMT Bridge BCA'!AQ30+'VMT Holabird BCA'!AQ30+'Bridge State of Good Repair'!AQ30+'Keith State of Good Repair'!AQ30</f>
        <v>787360.134116683</v>
      </c>
      <c r="AR30" s="28">
        <f>'VMT Bridge BCA'!AR30+'VMT Holabird BCA'!AR30+'Bridge State of Good Repair'!AR30+'Keith State of Good Repair'!AR30</f>
        <v>49264.569298655115</v>
      </c>
      <c r="AS30" s="28">
        <f>'VMT Bridge BCA'!AS30+'VMT Holabird BCA'!AS30+'Bridge State of Good Repair'!AS30+'Keith State of Good Repair'!AS30</f>
        <v>192208.84886217388</v>
      </c>
      <c r="AT30" s="28">
        <f>'VMT Bridge BCA'!AT30+'VMT Holabird BCA'!AT30+'Bridge State of Good Repair'!AT30+'Keith State of Good Repair'!AT30</f>
        <v>117696.77196203709</v>
      </c>
      <c r="AU30" s="28">
        <f>'VMT Bridge BCA'!AU30+'VMT Holabird BCA'!AU30+'Bridge State of Good Repair'!AU30+'Keith State of Good Repair'!AU30</f>
        <v>1043440.0686226744</v>
      </c>
      <c r="AV30" s="28">
        <f>'VMT Bridge BCA'!AV30+'VMT Holabird BCA'!AV30+'Bridge State of Good Repair'!AV30+'Keith State of Good Repair'!AV30</f>
        <v>-123561.70914176038</v>
      </c>
      <c r="AW30" s="28">
        <f>'VMT Bridge BCA'!AW30+'VMT Holabird BCA'!AW30+'Bridge State of Good Repair'!AW30+'Keith State of Good Repair'!AW30</f>
        <v>-22.78984519879808</v>
      </c>
      <c r="AX30" s="28">
        <f>'VMT Bridge BCA'!AX30+'VMT Holabird BCA'!AX30+'Bridge State of Good Repair'!AX30+'Keith State of Good Repair'!AX30</f>
        <v>139660.68519692763</v>
      </c>
      <c r="AY30" s="67">
        <f t="shared" si="1"/>
        <v>0.17219549301143888</v>
      </c>
      <c r="AZ30" s="28">
        <f>'VMT Bridge BCA'!AZ30+'VMT Holabird BCA'!AZ30+'Bridge State of Good Repair'!AZ30+'Keith State of Good Repair'!AZ30</f>
        <v>167035.31235555012</v>
      </c>
      <c r="BA30" s="28">
        <f>'VMT Bridge BCA'!BA30+'VMT Holabird BCA'!BA30+'Bridge State of Good Repair'!BA30+'Keith State of Good Repair'!BA30</f>
        <v>292390.3560877896</v>
      </c>
      <c r="BB30" s="28">
        <f>'VMT Bridge BCA'!BB30+'VMT Holabird BCA'!BB30+'Bridge State of Good Repair'!BB30+'Keith State of Good Repair'!BB30</f>
        <v>18294.658740762057</v>
      </c>
      <c r="BC30" s="28">
        <f>'VMT Bridge BCA'!BC30+'VMT Holabird BCA'!BC30+'Bridge State of Good Repair'!BC30+'Keith State of Good Repair'!BC30</f>
        <v>71377.77406660849</v>
      </c>
      <c r="BD30" s="28">
        <f>'VMT Bridge BCA'!BD30+'VMT Holabird BCA'!BD30+'Bridge State of Good Repair'!BD30+'Keith State of Good Repair'!BD30</f>
        <v>43707.319653630686</v>
      </c>
      <c r="BE30" s="28">
        <f>'VMT Bridge BCA'!BE30+'VMT Holabird BCA'!BE30+'Bridge State of Good Repair'!BE30+'Keith State of Good Repair'!BE30</f>
        <v>387486.99610391783</v>
      </c>
      <c r="BF30" s="28">
        <f>'VMT Bridge BCA'!BF30+'VMT Holabird BCA'!BF30+'Bridge State of Good Repair'!BF30+'Keith State of Good Repair'!BF30</f>
        <v>-45885.29513918871</v>
      </c>
      <c r="BG30" s="28">
        <f>'VMT Bridge BCA'!BG30+'VMT Holabird BCA'!BG30+'Bridge State of Good Repair'!BG30+'Keith State of Good Repair'!BG30</f>
        <v>-8.46312972187473</v>
      </c>
      <c r="BH30" s="28">
        <f>'VMT Bridge BCA'!BH30+'VMT Holabird BCA'!BH30+'Bridge State of Good Repair'!BH30+'Keith State of Good Repair'!BH30</f>
        <v>51863.7351661276</v>
      </c>
      <c r="BI30" s="28">
        <f>'VMT Bridge BCA'!BI30+'VMT Holabird BCA'!BI30+'Bridge State of Good Repair'!BI30+'Keith State of Good Repair'!BI30</f>
        <v>100000</v>
      </c>
      <c r="BJ30" s="28">
        <f>'VMT Bridge BCA'!BJ30+'VMT Holabird BCA'!BJ30+'Bridge State of Good Repair'!BJ30+'Keith State of Good Repair'!BJ30</f>
        <v>46369.47274385045</v>
      </c>
      <c r="BK30" s="28">
        <f>'VMT Bridge BCA'!BK30+'VMT Holabird BCA'!BK30+'Bridge State of Good Repair'!BK30+'Keith State of Good Repair'!BK30</f>
        <v>17219.54930114389</v>
      </c>
      <c r="BL30" s="28">
        <f>'VMT Bridge BCA'!BL30+'VMT Holabird BCA'!BL30+'Bridge State of Good Repair'!BL30+'Keith State of Good Repair'!BL30</f>
        <v>6000</v>
      </c>
      <c r="BM30" s="28">
        <f>'VMT Bridge BCA'!BM30+'VMT Holabird BCA'!BM30+'Bridge State of Good Repair'!BM30+'Keith State of Good Repair'!BM30</f>
        <v>2782.1683646310266</v>
      </c>
      <c r="BN30" s="28">
        <f>'VMT Bridge BCA'!BN30+'VMT Holabird BCA'!BN30+'Bridge State of Good Repair'!BN30+'Keith State of Good Repair'!BN30</f>
        <v>1033.1729580686333</v>
      </c>
      <c r="BO30" s="88">
        <f>'Complete Streets Bio Retention'!$A$21</f>
        <v>15736.62181254302</v>
      </c>
      <c r="BP30" s="97">
        <f t="shared" si="2"/>
        <v>7296.9885621699605</v>
      </c>
      <c r="BQ30" s="97">
        <f t="shared" si="3"/>
        <v>2709.7753513454086</v>
      </c>
    </row>
    <row r="31" spans="1:69" s="9" customFormat="1" ht="15">
      <c r="A31" s="71">
        <v>2042</v>
      </c>
      <c r="B31" s="98">
        <v>27</v>
      </c>
      <c r="C31" s="220">
        <f>'VMT Bridge BCA'!C31+'VMT Holabird BCA'!C31+'Bridge State of Good Repair'!C31+'Keith State of Good Repair'!C31</f>
        <v>678706</v>
      </c>
      <c r="D31" s="64">
        <f>'VMT Bridge BCA'!D31+'VMT Holabird BCA'!D31+'Bridge State of Good Repair'!D31+'Keith State of Good Repair'!D31</f>
        <v>5593</v>
      </c>
      <c r="E31" s="220">
        <f>'VMT Bridge BCA'!E31+'VMT Holabird BCA'!E31+'Bridge State of Good Repair'!E31+'Keith State of Good Repair'!E31</f>
        <v>6838725.213861052</v>
      </c>
      <c r="F31" s="241">
        <f>'VMT Bridge BCA'!F31+'VMT Holabird BCA'!F31+'Bridge State of Good Repair'!F31+'Keith State of Good Repair'!F31</f>
        <v>6609.206888421051</v>
      </c>
      <c r="G31" s="9">
        <v>0.56</v>
      </c>
      <c r="H31" s="9">
        <v>0.27</v>
      </c>
      <c r="I31" s="9">
        <v>0.01</v>
      </c>
      <c r="J31" s="9">
        <v>0.06</v>
      </c>
      <c r="K31" s="9">
        <v>0.04</v>
      </c>
      <c r="L31" s="9">
        <v>0.001</v>
      </c>
      <c r="M31" s="9">
        <v>0.11</v>
      </c>
      <c r="N31" s="9">
        <v>0.02</v>
      </c>
      <c r="O31" s="9">
        <v>0.02</v>
      </c>
      <c r="P31" s="9">
        <v>0.0009</v>
      </c>
      <c r="Q31" s="91">
        <f>'VMT Bridge BCA'!Q31+'VMT Holabird BCA'!Q31+'Bridge State of Good Repair'!Q31+'Keith State of Good Repair'!Q31</f>
        <v>979724.5757702698</v>
      </c>
      <c r="R31" s="27">
        <f>'VMT Bridge BCA'!R31+'VMT Holabird BCA'!R31+'Bridge State of Good Repair'!R31+'Keith State of Good Repair'!R31</f>
        <v>9.008786532231065</v>
      </c>
      <c r="S31" s="28">
        <f>'VMT Bridge BCA'!S31+'VMT Holabird BCA'!S31+'Bridge State of Good Repair'!S31+'Keith State of Good Repair'!S31</f>
        <v>979733.5845568021</v>
      </c>
      <c r="T31" s="91">
        <f>'VMT Bridge BCA'!T31+'VMT Holabird BCA'!T31+'Bridge State of Good Repair'!T31+'Keith State of Good Repair'!T31</f>
        <v>1714301.0597614655</v>
      </c>
      <c r="U31" s="27">
        <f>'VMT Bridge BCA'!U31+'VMT Holabird BCA'!U31+'Bridge State of Good Repair'!U31+'Keith State of Good Repair'!U31</f>
        <v>693.6765629817919</v>
      </c>
      <c r="V31" s="28">
        <f>'VMT Bridge BCA'!V31+'VMT Holabird BCA'!V31+'Bridge State of Good Repair'!V31+'Keith State of Good Repair'!V31</f>
        <v>1714994.7363244474</v>
      </c>
      <c r="W31" s="91">
        <f>'VMT Bridge BCA'!W31+'VMT Holabird BCA'!W31+'Bridge State of Good Repair'!W31+'Keith State of Good Repair'!W31</f>
        <v>107198.80485058573</v>
      </c>
      <c r="X31" s="27">
        <f>'VMT Bridge BCA'!X31+'VMT Holabird BCA'!X31+'Bridge State of Good Repair'!X31+'Keith State of Good Repair'!X31</f>
        <v>107.20455973354966</v>
      </c>
      <c r="Y31" s="28">
        <f>'VMT Bridge BCA'!Y31+'VMT Holabird BCA'!Y31+'Bridge State of Good Repair'!Y31+'Keith State of Good Repair'!Y31</f>
        <v>107306.00941031928</v>
      </c>
      <c r="Z31" s="91">
        <f>'VMT Bridge BCA'!Z31+'VMT Holabird BCA'!Z31+'Bridge State of Good Repair'!Z31+'Keith State of Good Repair'!Z31</f>
        <v>418541.42067750427</v>
      </c>
      <c r="AA31" s="27">
        <f>'VMT Bridge BCA'!AA31+'VMT Holabird BCA'!AA31+'Bridge State of Good Repair'!AA31+'Keith State of Good Repair'!AA31</f>
        <v>119.81686087867315</v>
      </c>
      <c r="AB31" s="28">
        <f>'VMT Bridge BCA'!AB31+'VMT Holabird BCA'!AB31+'Bridge State of Good Repair'!AB31+'Keith State of Good Repair'!AB31</f>
        <v>418661.23753838293</v>
      </c>
      <c r="AC31" s="91">
        <f>'VMT Bridge BCA'!AC31+'VMT Holabird BCA'!AC31+'Bridge State of Good Repair'!AC31+'Keith State of Good Repair'!AC31</f>
        <v>256354.05808805255</v>
      </c>
      <c r="AD31" s="27">
        <f>'VMT Bridge BCA'!AD31+'VMT Holabird BCA'!AD31+'Bridge State of Good Repair'!AD31+'Keith State of Good Repair'!AD31</f>
        <v>8.107907879007957</v>
      </c>
      <c r="AE31" s="28">
        <f>'VMT Bridge BCA'!AE31+'VMT Holabird BCA'!AE31+'Bridge State of Good Repair'!AE31+'Keith State of Good Repair'!AE31</f>
        <v>256362.16599593157</v>
      </c>
      <c r="AF31" s="20">
        <f>'VMT Bridge BCA'!AF31+'VMT Holabird BCA'!AF31+'Bridge State of Good Repair'!AF31+'Keith State of Good Repair'!AF31</f>
        <v>1103020.1957840407</v>
      </c>
      <c r="AG31" s="20">
        <f>'VMT Bridge BCA'!AG31+'VMT Holabird BCA'!AG31+'Bridge State of Good Repair'!AG31+'Keith State of Good Repair'!AG31</f>
        <v>269.76354646616534</v>
      </c>
      <c r="AH31" s="28">
        <f>'VMT Bridge BCA'!AH31+'VMT Holabird BCA'!AH31+'Bridge State of Good Repair'!AH31+'Keith State of Good Repair'!AH31</f>
        <v>2272777.316220844</v>
      </c>
      <c r="AI31" s="28">
        <f>'VMT Bridge BCA'!AI31+'VMT Holabird BCA'!AI31+'Bridge State of Good Repair'!AI31+'Keith State of Good Repair'!AI31</f>
        <v>-269136.9277713059</v>
      </c>
      <c r="AJ31" s="28">
        <f>'VMT Bridge BCA'!AJ31+'VMT Holabird BCA'!AJ31+'Bridge State of Good Repair'!AJ31+'Keith State of Good Repair'!AJ31</f>
        <v>-49.636492549774424</v>
      </c>
      <c r="AK31" s="20">
        <f>'VMT Bridge BCA'!AK31+'VMT Holabird BCA'!AK31+'Bridge State of Good Repair'!AK31+'Keith State of Good Repair'!AK31</f>
        <v>102684359.03166315</v>
      </c>
      <c r="AL31" s="20">
        <f>'VMT Bridge BCA'!AL31+'VMT Holabird BCA'!AL31+'Bridge State of Good Repair'!AL31+'Keith State of Good Repair'!AL31</f>
        <v>7353.226950257398</v>
      </c>
      <c r="AM31" s="212">
        <f>'VMT Bridge BCA'!AM31+'VMT Holabird BCA'!AM31</f>
        <v>83.88</v>
      </c>
      <c r="AN31" s="28">
        <f>'VMT Bridge BCA'!AN31+'VMT Holabird BCA'!AN31+'Bridge State of Good Repair'!AN31+'Keith State of Good Repair'!AN31</f>
        <v>308394.33829379524</v>
      </c>
      <c r="AO31" s="67">
        <f t="shared" si="0"/>
        <v>0.45018905576553836</v>
      </c>
      <c r="AP31" s="28">
        <f>'VMT Bridge BCA'!AP31+'VMT Holabird BCA'!AP31+'Bridge State of Good Repair'!AP31+'Keith State of Good Repair'!AP31</f>
        <v>441065.33733341296</v>
      </c>
      <c r="AQ31" s="28">
        <f>'VMT Bridge BCA'!AQ31+'VMT Holabird BCA'!AQ31+'Bridge State of Good Repair'!AQ31+'Keith State of Good Repair'!AQ31</f>
        <v>772071.8609887714</v>
      </c>
      <c r="AR31" s="28">
        <f>'VMT Bridge BCA'!AR31+'VMT Holabird BCA'!AR31+'Bridge State of Good Repair'!AR31+'Keith State of Good Repair'!AR31</f>
        <v>48307.99105439961</v>
      </c>
      <c r="AS31" s="28">
        <f>'VMT Bridge BCA'!AS31+'VMT Holabird BCA'!AS31+'Bridge State of Good Repair'!AS31+'Keith State of Good Repair'!AS31</f>
        <v>188476.7072130364</v>
      </c>
      <c r="AT31" s="28">
        <f>'VMT Bridge BCA'!AT31+'VMT Holabird BCA'!AT31+'Bridge State of Good Repair'!AT31+'Keith State of Good Repair'!AT31</f>
        <v>115411.44144371664</v>
      </c>
      <c r="AU31" s="28">
        <f>'VMT Bridge BCA'!AU31+'VMT Holabird BCA'!AU31+'Bridge State of Good Repair'!AU31+'Keith State of Good Repair'!AU31</f>
        <v>1023179.4739547963</v>
      </c>
      <c r="AV31" s="28">
        <f>'VMT Bridge BCA'!AV31+'VMT Holabird BCA'!AV31+'Bridge State of Good Repair'!AV31+'Keith State of Good Repair'!AV31</f>
        <v>-121162.4993850021</v>
      </c>
      <c r="AW31" s="28">
        <f>'VMT Bridge BCA'!AW31+'VMT Holabird BCA'!AW31+'Bridge State of Good Repair'!AW31+'Keith State of Good Repair'!AW31</f>
        <v>-22.345805712496126</v>
      </c>
      <c r="AX31" s="28">
        <f>'VMT Bridge BCA'!AX31+'VMT Holabird BCA'!AX31+'Bridge State of Good Repair'!AX31+'Keith State of Good Repair'!AX31</f>
        <v>138835.7559599217</v>
      </c>
      <c r="AY31" s="67">
        <f t="shared" si="1"/>
        <v>0.16093036730041013</v>
      </c>
      <c r="AZ31" s="28">
        <f>'VMT Bridge BCA'!AZ31+'VMT Holabird BCA'!AZ31+'Bridge State of Good Repair'!AZ31+'Keith State of Good Repair'!AZ31</f>
        <v>157668.88561927358</v>
      </c>
      <c r="BA31" s="28">
        <f>'VMT Bridge BCA'!BA31+'VMT Holabird BCA'!BA31+'Bridge State of Good Repair'!BA31+'Keith State of Good Repair'!BA31</f>
        <v>275994.7328349633</v>
      </c>
      <c r="BB31" s="28">
        <f>'VMT Bridge BCA'!BB31+'VMT Holabird BCA'!BB31+'Bridge State of Good Repair'!BB31+'Keith State of Good Repair'!BB31</f>
        <v>17268.79550794395</v>
      </c>
      <c r="BC31" s="28">
        <f>'VMT Bridge BCA'!BC31+'VMT Holabird BCA'!BC31+'Bridge State of Good Repair'!BC31+'Keith State of Good Repair'!BC31</f>
        <v>67375.30673149622</v>
      </c>
      <c r="BD31" s="28">
        <f>'VMT Bridge BCA'!BD31+'VMT Holabird BCA'!BD31+'Bridge State of Good Repair'!BD31+'Keith State of Good Repair'!BD31</f>
        <v>41256.45753565398</v>
      </c>
      <c r="BE31" s="28">
        <f>'VMT Bridge BCA'!BE31+'VMT Holabird BCA'!BE31+'Bridge State of Good Repair'!BE31+'Keith State of Good Repair'!BE31</f>
        <v>365758.88829146087</v>
      </c>
      <c r="BF31" s="28">
        <f>'VMT Bridge BCA'!BF31+'VMT Holabird BCA'!BF31+'Bridge State of Good Repair'!BF31+'Keith State of Good Repair'!BF31</f>
        <v>-43312.304640340204</v>
      </c>
      <c r="BG31" s="28">
        <f>'VMT Bridge BCA'!BG31+'VMT Holabird BCA'!BG31+'Bridge State of Good Repair'!BG31+'Keith State of Good Repair'!BG31</f>
        <v>-7.988018977539269</v>
      </c>
      <c r="BH31" s="28">
        <f>'VMT Bridge BCA'!BH31+'VMT Holabird BCA'!BH31+'Bridge State of Good Repair'!BH31+'Keith State of Good Repair'!BH31</f>
        <v>49630.0141349874</v>
      </c>
      <c r="BI31" s="28">
        <f>'VMT Bridge BCA'!BI31+'VMT Holabird BCA'!BI31+'Bridge State of Good Repair'!BI31+'Keith State of Good Repair'!BI31</f>
        <v>100000</v>
      </c>
      <c r="BJ31" s="28">
        <f>'VMT Bridge BCA'!BJ31+'VMT Holabird BCA'!BJ31+'Bridge State of Good Repair'!BJ31+'Keith State of Good Repair'!BJ31</f>
        <v>45018.905576553836</v>
      </c>
      <c r="BK31" s="28">
        <f>'VMT Bridge BCA'!BK31+'VMT Holabird BCA'!BK31+'Bridge State of Good Repair'!BK31+'Keith State of Good Repair'!BK31</f>
        <v>16093.036730041013</v>
      </c>
      <c r="BL31" s="28">
        <f>'VMT Bridge BCA'!BL31+'VMT Holabird BCA'!BL31+'Bridge State of Good Repair'!BL31+'Keith State of Good Repair'!BL31</f>
        <v>6000</v>
      </c>
      <c r="BM31" s="28">
        <f>'VMT Bridge BCA'!BM31+'VMT Holabird BCA'!BM31+'Bridge State of Good Repair'!BM31+'Keith State of Good Repair'!BM31</f>
        <v>2701.13433459323</v>
      </c>
      <c r="BN31" s="28">
        <f>'VMT Bridge BCA'!BN31+'VMT Holabird BCA'!BN31+'Bridge State of Good Repair'!BN31+'Keith State of Good Repair'!BN31</f>
        <v>965.5822038024608</v>
      </c>
      <c r="BO31" s="88">
        <f>'Complete Streets Bio Retention'!$A$21</f>
        <v>15736.62181254302</v>
      </c>
      <c r="BP31" s="97">
        <f t="shared" si="2"/>
        <v>7084.454914728117</v>
      </c>
      <c r="BQ31" s="97">
        <f t="shared" si="3"/>
        <v>2532.500328360194</v>
      </c>
    </row>
    <row r="32" spans="1:69" s="9" customFormat="1" ht="15">
      <c r="A32" s="72">
        <v>2043</v>
      </c>
      <c r="B32" s="99">
        <v>28</v>
      </c>
      <c r="C32" s="220">
        <f>'VMT Bridge BCA'!C32+'VMT Holabird BCA'!C32+'Bridge State of Good Repair'!C32+'Keith State of Good Repair'!C32</f>
        <v>685493</v>
      </c>
      <c r="D32" s="64">
        <f>'VMT Bridge BCA'!D32+'VMT Holabird BCA'!D32+'Bridge State of Good Repair'!D32+'Keith State of Good Repair'!D32</f>
        <v>5651</v>
      </c>
      <c r="E32" s="220">
        <f>'VMT Bridge BCA'!E32+'VMT Holabird BCA'!E32+'Bridge State of Good Repair'!E32+'Keith State of Good Repair'!E32</f>
        <v>6907114.037713684</v>
      </c>
      <c r="F32" s="241">
        <f>'VMT Bridge BCA'!F32+'VMT Holabird BCA'!F32+'Bridge State of Good Repair'!F32+'Keith State of Good Repair'!F32</f>
        <v>6677.74506105263</v>
      </c>
      <c r="G32" s="9">
        <v>0.56</v>
      </c>
      <c r="H32" s="9">
        <v>0.27</v>
      </c>
      <c r="I32" s="9">
        <v>0.01</v>
      </c>
      <c r="J32" s="9">
        <v>0.06</v>
      </c>
      <c r="K32" s="9">
        <v>0.04</v>
      </c>
      <c r="L32" s="9">
        <v>0.001</v>
      </c>
      <c r="M32" s="9">
        <v>0.11</v>
      </c>
      <c r="N32" s="9">
        <v>0.02</v>
      </c>
      <c r="O32" s="9">
        <v>0.02</v>
      </c>
      <c r="P32" s="9">
        <v>0.0009</v>
      </c>
      <c r="Q32" s="91">
        <f>'VMT Bridge BCA'!Q32+'VMT Holabird BCA'!Q32+'Bridge State of Good Repair'!Q32+'Keith State of Good Repair'!Q32</f>
        <v>989522.3108914132</v>
      </c>
      <c r="R32" s="27">
        <f>'VMT Bridge BCA'!R32+'VMT Holabird BCA'!R32+'Bridge State of Good Repair'!R32+'Keith State of Good Repair'!R32</f>
        <v>9.10220859889822</v>
      </c>
      <c r="S32" s="28">
        <f>'VMT Bridge BCA'!S32+'VMT Holabird BCA'!S32+'Bridge State of Good Repair'!S32+'Keith State of Good Repair'!S32</f>
        <v>989531.4131000121</v>
      </c>
      <c r="T32" s="91">
        <f>'VMT Bridge BCA'!T32+'VMT Holabird BCA'!T32+'Bridge State of Good Repair'!T32+'Keith State of Good Repair'!T32</f>
        <v>1731444.478862814</v>
      </c>
      <c r="U32" s="27">
        <f>'VMT Bridge BCA'!U32+'VMT Holabird BCA'!U32+'Bridge State of Good Repair'!U32+'Keith State of Good Repair'!U32</f>
        <v>700.8700621151629</v>
      </c>
      <c r="V32" s="28">
        <f>'VMT Bridge BCA'!V32+'VMT Holabird BCA'!V32+'Bridge State of Good Repair'!V32+'Keith State of Good Repair'!V32</f>
        <v>1732145.348924929</v>
      </c>
      <c r="W32" s="91">
        <f>'VMT Bridge BCA'!W32+'VMT Holabird BCA'!W32+'Bridge State of Good Repair'!W32+'Keith State of Good Repair'!W32</f>
        <v>108270.81753611959</v>
      </c>
      <c r="X32" s="27">
        <f>'VMT Bridge BCA'!X32+'VMT Holabird BCA'!X32+'Bridge State of Good Repair'!X32+'Keith State of Good Repair'!X32</f>
        <v>108.31628232688881</v>
      </c>
      <c r="Y32" s="28">
        <f>'VMT Bridge BCA'!Y32+'VMT Holabird BCA'!Y32+'Bridge State of Good Repair'!Y32+'Keith State of Good Repair'!Y32</f>
        <v>108379.13381844648</v>
      </c>
      <c r="Z32" s="91">
        <f>'VMT Bridge BCA'!Z32+'VMT Holabird BCA'!Z32+'Bridge State of Good Repair'!Z32+'Keith State of Good Repair'!Z32</f>
        <v>422726.9310758061</v>
      </c>
      <c r="AA32" s="27">
        <f>'VMT Bridge BCA'!AA32+'VMT Holabird BCA'!AA32+'Bridge State of Good Repair'!AA32+'Keith State of Good Repair'!AA32</f>
        <v>121.05937436534633</v>
      </c>
      <c r="AB32" s="28">
        <f>'VMT Bridge BCA'!AB32+'VMT Holabird BCA'!AB32+'Bridge State of Good Repair'!AB32+'Keith State of Good Repair'!AB32</f>
        <v>422847.9904501714</v>
      </c>
      <c r="AC32" s="91">
        <f>'VMT Bridge BCA'!AC32+'VMT Holabird BCA'!AC32+'Bridge State of Good Repair'!AC32+'Keith State of Good Repair'!AC32</f>
        <v>258917.66010596108</v>
      </c>
      <c r="AD32" s="27">
        <f>'VMT Bridge BCA'!AD32+'VMT Holabird BCA'!AD32+'Bridge State of Good Repair'!AD32+'Keith State of Good Repair'!AD32</f>
        <v>8.191987739008399</v>
      </c>
      <c r="AE32" s="28">
        <f>'VMT Bridge BCA'!AE32+'VMT Holabird BCA'!AE32+'Bridge State of Good Repair'!AE32+'Keith State of Good Repair'!AE32</f>
        <v>258925.8520937001</v>
      </c>
      <c r="AF32" s="20">
        <f>'VMT Bridge BCA'!AF32+'VMT Holabird BCA'!AF32+'Bridge State of Good Repair'!AF32+'Keith State of Good Repair'!AF32</f>
        <v>1114050.6512441426</v>
      </c>
      <c r="AG32" s="20">
        <f>'VMT Bridge BCA'!AG32+'VMT Holabird BCA'!AG32+'Bridge State of Good Repair'!AG32+'Keith State of Good Repair'!AG32</f>
        <v>272.56102290010733</v>
      </c>
      <c r="AH32" s="28">
        <f>'VMT Bridge BCA'!AH32+'VMT Holabird BCA'!AH32+'Bridge State of Good Repair'!AH32+'Keith State of Good Repair'!AH32</f>
        <v>2295505.8172701076</v>
      </c>
      <c r="AI32" s="28">
        <f>'VMT Bridge BCA'!AI32+'VMT Holabird BCA'!AI32+'Bridge State of Good Repair'!AI32+'Keith State of Good Repair'!AI32</f>
        <v>-271828.3589035708</v>
      </c>
      <c r="AJ32" s="28">
        <f>'VMT Bridge BCA'!AJ32+'VMT Holabird BCA'!AJ32+'Bridge State of Good Repair'!AJ32+'Keith State of Good Repair'!AJ32</f>
        <v>-50.151228213619746</v>
      </c>
      <c r="AK32" s="20">
        <f>'VMT Bridge BCA'!AK32+'VMT Holabird BCA'!AK32+'Bridge State of Good Repair'!AK32+'Keith State of Good Repair'!AK32</f>
        <v>103711254.91282104</v>
      </c>
      <c r="AL32" s="20">
        <f>'VMT Bridge BCA'!AL32+'VMT Holabird BCA'!AL32+'Bridge State of Good Repair'!AL32+'Keith State of Good Repair'!AL32</f>
        <v>7426.762964307114</v>
      </c>
      <c r="AM32" s="212">
        <f>'VMT Bridge BCA'!AM32+'VMT Holabird BCA'!AM32</f>
        <v>85.02</v>
      </c>
      <c r="AN32" s="28">
        <f>'VMT Bridge BCA'!AN32+'VMT Holabird BCA'!AN32+'Bridge State of Good Repair'!AN32+'Keith State of Good Repair'!AN32</f>
        <v>315711.6936126954</v>
      </c>
      <c r="AO32" s="67">
        <f t="shared" si="0"/>
        <v>0.4370767531704256</v>
      </c>
      <c r="AP32" s="28">
        <f>'VMT Bridge BCA'!AP32+'VMT Holabird BCA'!AP32+'Bridge State of Good Repair'!AP32+'Keith State of Good Repair'!AP32</f>
        <v>432501.17719789647</v>
      </c>
      <c r="AQ32" s="28">
        <f>'VMT Bridge BCA'!AQ32+'VMT Holabird BCA'!AQ32+'Bridge State of Good Repair'!AQ32+'Keith State of Good Repair'!AQ32</f>
        <v>757080.4651273619</v>
      </c>
      <c r="AR32" s="28">
        <f>'VMT Bridge BCA'!AR32+'VMT Holabird BCA'!AR32+'Bridge State of Good Repair'!AR32+'Keith State of Good Repair'!AR32</f>
        <v>47369.99992078966</v>
      </c>
      <c r="AS32" s="28">
        <f>'VMT Bridge BCA'!AS32+'VMT Holabird BCA'!AS32+'Bridge State of Good Repair'!AS32+'Keith State of Good Repair'!AS32</f>
        <v>184817.02675060005</v>
      </c>
      <c r="AT32" s="28">
        <f>'VMT Bridge BCA'!AT32+'VMT Holabird BCA'!AT32+'Bridge State of Good Repair'!AT32+'Keith State of Good Repair'!AT32</f>
        <v>113170.47074500029</v>
      </c>
      <c r="AU32" s="28">
        <f>'VMT Bridge BCA'!AU32+'VMT Holabird BCA'!AU32+'Bridge State of Good Repair'!AU32+'Keith State of Good Repair'!AU32</f>
        <v>1003312.2294962428</v>
      </c>
      <c r="AV32" s="28">
        <f>'VMT Bridge BCA'!AV32+'VMT Holabird BCA'!AV32+'Bridge State of Good Repair'!AV32+'Keith State of Good Repair'!AV32</f>
        <v>-118809.85652921787</v>
      </c>
      <c r="AW32" s="28">
        <f>'VMT Bridge BCA'!AW32+'VMT Holabird BCA'!AW32+'Bridge State of Good Repair'!AW32+'Keith State of Good Repair'!AW32</f>
        <v>-21.919935995117964</v>
      </c>
      <c r="AX32" s="28">
        <f>'VMT Bridge BCA'!AX32+'VMT Holabird BCA'!AX32+'Bridge State of Good Repair'!AX32+'Keith State of Good Repair'!AX32</f>
        <v>137990.24198217312</v>
      </c>
      <c r="AY32" s="67">
        <f t="shared" si="1"/>
        <v>0.15040221243028987</v>
      </c>
      <c r="AZ32" s="28">
        <f>'VMT Bridge BCA'!AZ32+'VMT Holabird BCA'!AZ32+'Bridge State of Good Repair'!AZ32+'Keith State of Good Repair'!AZ32</f>
        <v>148827.71379951295</v>
      </c>
      <c r="BA32" s="28">
        <f>'VMT Bridge BCA'!BA32+'VMT Holabird BCA'!BA32+'Bridge State of Good Repair'!BA32+'Keith State of Good Repair'!BA32</f>
        <v>260518.49272914574</v>
      </c>
      <c r="BB32" s="28">
        <f>'VMT Bridge BCA'!BB32+'VMT Holabird BCA'!BB32+'Bridge State of Good Repair'!BB32+'Keith State of Good Repair'!BB32</f>
        <v>16300.461507572802</v>
      </c>
      <c r="BC32" s="28">
        <f>'VMT Bridge BCA'!BC32+'VMT Holabird BCA'!BC32+'Bridge State of Good Repair'!BC32+'Keith State of Good Repair'!BC32</f>
        <v>63597.273285407864</v>
      </c>
      <c r="BD32" s="28">
        <f>'VMT Bridge BCA'!BD32+'VMT Holabird BCA'!BD32+'Bridge State of Good Repair'!BD32+'Keith State of Good Repair'!BD32</f>
        <v>38943.0210102905</v>
      </c>
      <c r="BE32" s="28">
        <f>'VMT Bridge BCA'!BE32+'VMT Holabird BCA'!BE32+'Bridge State of Good Repair'!BE32+'Keith State of Good Repair'!BE32</f>
        <v>345249.1535640249</v>
      </c>
      <c r="BF32" s="28">
        <f>'VMT Bridge BCA'!BF32+'VMT Holabird BCA'!BF32+'Bridge State of Good Repair'!BF32+'Keith State of Good Repair'!BF32</f>
        <v>-40883.58658039192</v>
      </c>
      <c r="BG32" s="28">
        <f>'VMT Bridge BCA'!BG32+'VMT Holabird BCA'!BG32+'Bridge State of Good Repair'!BG32+'Keith State of Good Repair'!BG32</f>
        <v>-7.542855679424783</v>
      </c>
      <c r="BH32" s="28">
        <f>'VMT Bridge BCA'!BH32+'VMT Holabird BCA'!BH32+'Bridge State of Good Repair'!BH32+'Keith State of Good Repair'!BH32</f>
        <v>47483.7372094632</v>
      </c>
      <c r="BI32" s="28">
        <f>'VMT Bridge BCA'!BI32+'VMT Holabird BCA'!BI32+'Bridge State of Good Repair'!BI32+'Keith State of Good Repair'!BI32</f>
        <v>100000</v>
      </c>
      <c r="BJ32" s="28">
        <f>'VMT Bridge BCA'!BJ32+'VMT Holabird BCA'!BJ32+'Bridge State of Good Repair'!BJ32+'Keith State of Good Repair'!BJ32</f>
        <v>43707.67531704256</v>
      </c>
      <c r="BK32" s="28">
        <f>'VMT Bridge BCA'!BK32+'VMT Holabird BCA'!BK32+'Bridge State of Good Repair'!BK32+'Keith State of Good Repair'!BK32</f>
        <v>15040.221243028987</v>
      </c>
      <c r="BL32" s="28">
        <f>'VMT Bridge BCA'!BL32+'VMT Holabird BCA'!BL32+'Bridge State of Good Repair'!BL32+'Keith State of Good Repair'!BL32</f>
        <v>6000</v>
      </c>
      <c r="BM32" s="28">
        <f>'VMT Bridge BCA'!BM32+'VMT Holabird BCA'!BM32+'Bridge State of Good Repair'!BM32+'Keith State of Good Repair'!BM32</f>
        <v>2622.4605190225534</v>
      </c>
      <c r="BN32" s="28">
        <f>'VMT Bridge BCA'!BN32+'VMT Holabird BCA'!BN32+'Bridge State of Good Repair'!BN32+'Keith State of Good Repair'!BN32</f>
        <v>902.4132745817392</v>
      </c>
      <c r="BO32" s="88">
        <f>'Complete Streets Bio Retention'!$A$21</f>
        <v>15736.62181254302</v>
      </c>
      <c r="BP32" s="97">
        <f t="shared" si="2"/>
        <v>6878.111567697201</v>
      </c>
      <c r="BQ32" s="97">
        <f t="shared" si="3"/>
        <v>2366.8227367852287</v>
      </c>
    </row>
    <row r="33" spans="1:69" s="9" customFormat="1" ht="15">
      <c r="A33" s="71">
        <v>2044</v>
      </c>
      <c r="B33" s="99">
        <v>29</v>
      </c>
      <c r="C33" s="220">
        <f>'VMT Bridge BCA'!C33+'VMT Holabird BCA'!C33+'Bridge State of Good Repair'!C33+'Keith State of Good Repair'!C33</f>
        <v>692348</v>
      </c>
      <c r="D33" s="64">
        <f>'VMT Bridge BCA'!D33+'VMT Holabird BCA'!D33+'Bridge State of Good Repair'!D33+'Keith State of Good Repair'!D33</f>
        <v>5705</v>
      </c>
      <c r="E33" s="220">
        <f>'VMT Bridge BCA'!E33+'VMT Holabird BCA'!E33+'Bridge State of Good Repair'!E33+'Keith State of Good Repair'!E33</f>
        <v>6976186.009873684</v>
      </c>
      <c r="F33" s="241">
        <f>'VMT Bridge BCA'!F33+'VMT Holabird BCA'!F33+'Bridge State of Good Repair'!F33+'Keith State of Good Repair'!F33</f>
        <v>6741.556463157894</v>
      </c>
      <c r="G33" s="9">
        <v>0.56</v>
      </c>
      <c r="H33" s="9">
        <v>0.27</v>
      </c>
      <c r="I33" s="9">
        <v>0.01</v>
      </c>
      <c r="J33" s="9">
        <v>0.06</v>
      </c>
      <c r="K33" s="9">
        <v>0.04</v>
      </c>
      <c r="L33" s="9">
        <v>0.001</v>
      </c>
      <c r="M33" s="9">
        <v>0.11</v>
      </c>
      <c r="N33" s="9">
        <v>0.02</v>
      </c>
      <c r="O33" s="9">
        <v>0.02</v>
      </c>
      <c r="P33" s="9">
        <v>0.0009</v>
      </c>
      <c r="Q33" s="91">
        <f>'VMT Bridge BCA'!Q33+'VMT Holabird BCA'!Q33+'Bridge State of Good Repair'!Q33+'Keith State of Good Repair'!Q33</f>
        <v>999417.329870792</v>
      </c>
      <c r="R33" s="27">
        <f>'VMT Bridge BCA'!R33+'VMT Holabird BCA'!R33+'Bridge State of Good Repair'!R33+'Keith State of Good Repair'!R33</f>
        <v>9.189187764415918</v>
      </c>
      <c r="S33" s="28">
        <f>'VMT Bridge BCA'!S33+'VMT Holabird BCA'!S33+'Bridge State of Good Repair'!S33+'Keith State of Good Repair'!S33</f>
        <v>999426.5190585564</v>
      </c>
      <c r="T33" s="91">
        <f>'VMT Bridge BCA'!T33+'VMT Holabird BCA'!T33+'Bridge State of Good Repair'!T33+'Keith State of Good Repair'!T33</f>
        <v>1748759.1143992702</v>
      </c>
      <c r="U33" s="27">
        <f>'VMT Bridge BCA'!U33+'VMT Holabird BCA'!U33+'Bridge State of Good Repair'!U33+'Keith State of Good Repair'!U33</f>
        <v>707.5674578600256</v>
      </c>
      <c r="V33" s="28">
        <f>'VMT Bridge BCA'!V33+'VMT Holabird BCA'!V33+'Bridge State of Good Repair'!V33+'Keith State of Good Repair'!V33</f>
        <v>1749466.68185713</v>
      </c>
      <c r="W33" s="91">
        <f>'VMT Bridge BCA'!W33+'VMT Holabird BCA'!W33+'Bridge State of Good Repair'!W33+'Keith State of Good Repair'!W33</f>
        <v>109353.53874989452</v>
      </c>
      <c r="X33" s="27">
        <f>'VMT Bridge BCA'!X33+'VMT Holabird BCA'!X33+'Bridge State of Good Repair'!X33+'Keith State of Good Repair'!X33</f>
        <v>109.3513343965494</v>
      </c>
      <c r="Y33" s="28">
        <f>'VMT Bridge BCA'!Y33+'VMT Holabird BCA'!Y33+'Bridge State of Good Repair'!Y33+'Keith State of Good Repair'!Y33</f>
        <v>109462.89008429107</v>
      </c>
      <c r="Z33" s="91">
        <f>'VMT Bridge BCA'!Z33+'VMT Holabird BCA'!Z33+'Bridge State of Good Repair'!Z33+'Keith State of Good Repair'!Z33</f>
        <v>426954.2512930665</v>
      </c>
      <c r="AA33" s="27">
        <f>'VMT Bridge BCA'!AA33+'VMT Holabird BCA'!AA33+'Bridge State of Good Repair'!AA33+'Keith State of Good Repair'!AA33</f>
        <v>122.2161972667317</v>
      </c>
      <c r="AB33" s="28">
        <f>'VMT Bridge BCA'!AB33+'VMT Holabird BCA'!AB33+'Bridge State of Good Repair'!AB33+'Keith State of Good Repair'!AB33</f>
        <v>427076.4674903332</v>
      </c>
      <c r="AC33" s="91">
        <f>'VMT Bridge BCA'!AC33+'VMT Holabird BCA'!AC33+'Bridge State of Good Repair'!AC33+'Keith State of Good Repair'!AC33</f>
        <v>261506.86480290798</v>
      </c>
      <c r="AD33" s="27">
        <f>'VMT Bridge BCA'!AD33+'VMT Holabird BCA'!AD33+'Bridge State of Good Repair'!AD33+'Keith State of Good Repair'!AD33</f>
        <v>8.270268987974326</v>
      </c>
      <c r="AE33" s="28">
        <f>'VMT Bridge BCA'!AE33+'VMT Holabird BCA'!AE33+'Bridge State of Good Repair'!AE33+'Keith State of Good Repair'!AE33</f>
        <v>261515.13507189596</v>
      </c>
      <c r="AF33" s="20">
        <f>'VMT Bridge BCA'!AF33+'VMT Holabird BCA'!AF33+'Bridge State of Good Repair'!AF33+'Keith State of Good Repair'!AF33</f>
        <v>1125191.2919151103</v>
      </c>
      <c r="AG33" s="20">
        <f>'VMT Bridge BCA'!AG33+'VMT Holabird BCA'!AG33+'Bridge State of Good Repair'!AG33+'Keith State of Good Repair'!AG33</f>
        <v>275.16556992481196</v>
      </c>
      <c r="AH33" s="28">
        <f>'VMT Bridge BCA'!AH33+'VMT Holabird BCA'!AH33+'Bridge State of Good Repair'!AH33+'Keith State of Good Repair'!AH33</f>
        <v>2318460.9024191727</v>
      </c>
      <c r="AI33" s="28">
        <f>'VMT Bridge BCA'!AI33+'VMT Holabird BCA'!AI33+'Bridge State of Good Repair'!AI33+'Keith State of Good Repair'!AI33</f>
        <v>-274546.6752272869</v>
      </c>
      <c r="AJ33" s="28">
        <f>'VMT Bridge BCA'!AJ33+'VMT Holabird BCA'!AJ33+'Bridge State of Good Repair'!AJ33+'Keith State of Good Repair'!AJ33</f>
        <v>-50.6304648661654</v>
      </c>
      <c r="AK33" s="20">
        <f>'VMT Bridge BCA'!AK33+'VMT Holabird BCA'!AK33+'Bridge State of Good Repair'!AK33+'Keith State of Good Repair'!AK33</f>
        <v>104748344.84242104</v>
      </c>
      <c r="AL33" s="20">
        <f>'VMT Bridge BCA'!AL33+'VMT Holabird BCA'!AL33+'Bridge State of Good Repair'!AL33+'Keith State of Good Repair'!AL33</f>
        <v>7501.028974165772</v>
      </c>
      <c r="AM33" s="212">
        <f>'VMT Bridge BCA'!AM33+'VMT Holabird BCA'!AM33</f>
        <v>86.16</v>
      </c>
      <c r="AN33" s="28">
        <f>'VMT Bridge BCA'!AN33+'VMT Holabird BCA'!AN33+'Bridge State of Good Repair'!AN33+'Keith State of Good Repair'!AN33</f>
        <v>323144.32820706145</v>
      </c>
      <c r="AO33" s="67">
        <f t="shared" si="0"/>
        <v>0.4243463623013841</v>
      </c>
      <c r="AP33" s="28">
        <f>'VMT Bridge BCA'!AP33+'VMT Holabird BCA'!AP33+'Bridge State of Good Repair'!AP33+'Keith State of Good Repair'!AP33</f>
        <v>424103.0077500334</v>
      </c>
      <c r="AQ33" s="28">
        <f>'VMT Bridge BCA'!AQ33+'VMT Holabird BCA'!AQ33+'Bridge State of Good Repair'!AQ33+'Keith State of Good Repair'!AQ33</f>
        <v>742379.8224135461</v>
      </c>
      <c r="AR33" s="28">
        <f>'VMT Bridge BCA'!AR33+'VMT Holabird BCA'!AR33+'Bridge State of Good Repair'!AR33+'Keith State of Good Repair'!AR33</f>
        <v>46450.17921426516</v>
      </c>
      <c r="AS33" s="28">
        <f>'VMT Bridge BCA'!AS33+'VMT Holabird BCA'!AS33+'Bridge State of Good Repair'!AS33+'Keith State of Good Repair'!AS33</f>
        <v>181228.34540404825</v>
      </c>
      <c r="AT33" s="28">
        <f>'VMT Bridge BCA'!AT33+'VMT Holabird BCA'!AT33+'Bridge State of Good Repair'!AT33+'Keith State of Good Repair'!AT33</f>
        <v>110972.99625451416</v>
      </c>
      <c r="AU33" s="28">
        <f>'VMT Bridge BCA'!AU33+'VMT Holabird BCA'!AU33+'Bridge State of Good Repair'!AU33+'Keith State of Good Repair'!AU33</f>
        <v>983830.45007956</v>
      </c>
      <c r="AV33" s="28">
        <f>'VMT Bridge BCA'!AV33+'VMT Holabird BCA'!AV33+'Bridge State of Good Repair'!AV33+'Keith State of Good Repair'!AV33</f>
        <v>-116502.88291463873</v>
      </c>
      <c r="AW33" s="28">
        <f>'VMT Bridge BCA'!AW33+'VMT Holabird BCA'!AW33+'Bridge State of Good Repair'!AW33+'Keith State of Good Repair'!AW33</f>
        <v>-21.48485358758532</v>
      </c>
      <c r="AX33" s="28">
        <f>'VMT Bridge BCA'!AX33+'VMT Holabird BCA'!AX33+'Bridge State of Good Repair'!AX33+'Keith State of Good Repair'!AX33</f>
        <v>137125.12017299107</v>
      </c>
      <c r="AY33" s="67">
        <f t="shared" si="1"/>
        <v>0.1405628153554111</v>
      </c>
      <c r="AZ33" s="28">
        <f>'VMT Bridge BCA'!AZ33+'VMT Holabird BCA'!AZ33+'Bridge State of Good Repair'!AZ33+'Keith State of Good Repair'!AZ33</f>
        <v>140482.20525972912</v>
      </c>
      <c r="BA33" s="28">
        <f>'VMT Bridge BCA'!BA33+'VMT Holabird BCA'!BA33+'Bridge State of Good Repair'!BA33+'Keith State of Good Repair'!BA33</f>
        <v>245909.9621723275</v>
      </c>
      <c r="BB33" s="28">
        <f>'VMT Bridge BCA'!BB33+'VMT Holabird BCA'!BB33+'Bridge State of Good Repair'!BB33+'Keith State of Good Repair'!BB33</f>
        <v>15386.412007187866</v>
      </c>
      <c r="BC33" s="28">
        <f>'VMT Bridge BCA'!BC33+'VMT Holabird BCA'!BC33+'Bridge State of Good Repair'!BC33+'Keith State of Good Repair'!BC33</f>
        <v>60031.07064248494</v>
      </c>
      <c r="BD33" s="28">
        <f>'VMT Bridge BCA'!BD33+'VMT Holabird BCA'!BD33+'Bridge State of Good Repair'!BD33+'Keith State of Good Repair'!BD33</f>
        <v>36759.3036437563</v>
      </c>
      <c r="BE33" s="28">
        <f>'VMT Bridge BCA'!BE33+'VMT Holabird BCA'!BE33+'Bridge State of Good Repair'!BE33+'Keith State of Good Repair'!BE33</f>
        <v>325889.39173548593</v>
      </c>
      <c r="BF33" s="28">
        <f>'VMT Bridge BCA'!BF33+'VMT Holabird BCA'!BF33+'Bridge State of Good Repair'!BF33+'Keith State of Good Repair'!BF33</f>
        <v>-38591.05361641515</v>
      </c>
      <c r="BG33" s="28">
        <f>'VMT Bridge BCA'!BG33+'VMT Holabird BCA'!BG33+'Bridge State of Good Repair'!BG33+'Keith State of Good Repair'!BG33</f>
        <v>-7.116760684341435</v>
      </c>
      <c r="BH33" s="28">
        <f>'VMT Bridge BCA'!BH33+'VMT Holabird BCA'!BH33+'Bridge State of Good Repair'!BH33+'Keith State of Good Repair'!BH33</f>
        <v>45422.076538917536</v>
      </c>
      <c r="BI33" s="28">
        <f>'VMT Bridge BCA'!BI33+'VMT Holabird BCA'!BI33+'Bridge State of Good Repair'!BI33+'Keith State of Good Repair'!BI33</f>
        <v>100000</v>
      </c>
      <c r="BJ33" s="28">
        <f>'VMT Bridge BCA'!BJ33+'VMT Holabird BCA'!BJ33+'Bridge State of Good Repair'!BJ33+'Keith State of Good Repair'!BJ33</f>
        <v>42434.636230138414</v>
      </c>
      <c r="BK33" s="28">
        <f>'VMT Bridge BCA'!BK33+'VMT Holabird BCA'!BK33+'Bridge State of Good Repair'!BK33+'Keith State of Good Repair'!BK33</f>
        <v>14056.28153554111</v>
      </c>
      <c r="BL33" s="28">
        <f>'VMT Bridge BCA'!BL33+'VMT Holabird BCA'!BL33+'Bridge State of Good Repair'!BL33+'Keith State of Good Repair'!BL33</f>
        <v>6000</v>
      </c>
      <c r="BM33" s="28">
        <f>'VMT Bridge BCA'!BM33+'VMT Holabird BCA'!BM33+'Bridge State of Good Repair'!BM33+'Keith State of Good Repair'!BM33</f>
        <v>2546.0781738083047</v>
      </c>
      <c r="BN33" s="28">
        <f>'VMT Bridge BCA'!BN33+'VMT Holabird BCA'!BN33+'Bridge State of Good Repair'!BN33+'Keith State of Good Repair'!BN33</f>
        <v>843.3768921324665</v>
      </c>
      <c r="BO33" s="88">
        <f>'Complete Streets Bio Retention'!$A$21</f>
        <v>15736.62181254302</v>
      </c>
      <c r="BP33" s="97">
        <f t="shared" si="2"/>
        <v>6677.778221065245</v>
      </c>
      <c r="BQ33" s="97">
        <f t="shared" si="3"/>
        <v>2211.9838661544195</v>
      </c>
    </row>
    <row r="34" spans="1:69" s="9" customFormat="1" ht="15.75" thickBot="1">
      <c r="A34" s="72">
        <v>2045</v>
      </c>
      <c r="B34" s="98">
        <v>30</v>
      </c>
      <c r="C34" s="16">
        <f>'VMT Bridge BCA'!C34+'VMT Holabird BCA'!C34+'Bridge State of Good Repair'!C34+'Keith State of Good Repair'!C34</f>
        <v>699271</v>
      </c>
      <c r="D34" s="155">
        <f>'VMT Bridge BCA'!D34+'VMT Holabird BCA'!D34+'Bridge State of Good Repair'!D34+'Keith State of Good Repair'!D34</f>
        <v>5763</v>
      </c>
      <c r="E34" s="242">
        <f>'VMT Bridge BCA'!E34+'VMT Holabird BCA'!E34+'Bridge State of Good Repair'!E34+'Keith State of Good Repair'!E34</f>
        <v>7045944.433726314</v>
      </c>
      <c r="F34" s="126">
        <f>'VMT Bridge BCA'!F34+'VMT Holabird BCA'!F34+'Bridge State of Good Repair'!F34+'Keith State of Good Repair'!F34</f>
        <v>6810.094635789472</v>
      </c>
      <c r="G34" s="9">
        <v>0.56</v>
      </c>
      <c r="H34" s="9">
        <v>0.27</v>
      </c>
      <c r="I34" s="9">
        <v>0.01</v>
      </c>
      <c r="J34" s="9">
        <v>0.06</v>
      </c>
      <c r="K34" s="9">
        <v>0.04</v>
      </c>
      <c r="L34" s="9">
        <v>0.001</v>
      </c>
      <c r="M34" s="9">
        <v>0.11</v>
      </c>
      <c r="N34" s="9">
        <v>0.02</v>
      </c>
      <c r="O34" s="9">
        <v>0.02</v>
      </c>
      <c r="P34" s="9">
        <v>0.0009</v>
      </c>
      <c r="Q34" s="143">
        <f>'VMT Bridge BCA'!Q34+'VMT Holabird BCA'!Q34+'Bridge State of Good Repair'!Q34+'Keith State of Good Repair'!Q34</f>
        <v>1009411.0848163256</v>
      </c>
      <c r="R34" s="144">
        <f>'VMT Bridge BCA'!R34+'VMT Holabird BCA'!R34+'Bridge State of Good Repair'!R34+'Keith State of Good Repair'!R34</f>
        <v>9.282609831083072</v>
      </c>
      <c r="S34" s="145">
        <f>'VMT Bridge BCA'!S34+'VMT Holabird BCA'!S34+'Bridge State of Good Repair'!S34+'Keith State of Good Repair'!S34</f>
        <v>1009420.3674261566</v>
      </c>
      <c r="T34" s="143">
        <f>'VMT Bridge BCA'!T34+'VMT Holabird BCA'!T34+'Bridge State of Good Repair'!T34+'Keith State of Good Repair'!T34</f>
        <v>1766245.8482216222</v>
      </c>
      <c r="U34" s="144">
        <f>'VMT Bridge BCA'!U34+'VMT Holabird BCA'!U34+'Bridge State of Good Repair'!U34+'Keith State of Good Repair'!U34</f>
        <v>714.7609569933965</v>
      </c>
      <c r="V34" s="145">
        <f>'VMT Bridge BCA'!V34+'VMT Holabird BCA'!V34+'Bridge State of Good Repair'!V34+'Keith State of Good Repair'!V34</f>
        <v>1766960.6091786155</v>
      </c>
      <c r="W34" s="143">
        <f>'VMT Bridge BCA'!W34+'VMT Holabird BCA'!W34+'Bridge State of Good Repair'!W34+'Keith State of Good Repair'!W34</f>
        <v>110447.0202733378</v>
      </c>
      <c r="X34" s="144">
        <f>'VMT Bridge BCA'!X34+'VMT Holabird BCA'!X34+'Bridge State of Good Repair'!X34+'Keith State of Good Repair'!X34</f>
        <v>110.46305698988854</v>
      </c>
      <c r="Y34" s="145">
        <f>'VMT Bridge BCA'!Y34+'VMT Holabird BCA'!Y34+'Bridge State of Good Repair'!Y34+'Keith State of Good Repair'!Y34</f>
        <v>110557.48333032768</v>
      </c>
      <c r="Z34" s="143">
        <f>'VMT Bridge BCA'!Z34+'VMT Holabird BCA'!Z34+'Bridge State of Good Repair'!Z34+'Keith State of Good Repair'!Z34</f>
        <v>431223.5835019885</v>
      </c>
      <c r="AA34" s="144">
        <f>'VMT Bridge BCA'!AA34+'VMT Holabird BCA'!AA34+'Bridge State of Good Repair'!AA34+'Keith State of Good Repair'!AA34</f>
        <v>123.45871075340486</v>
      </c>
      <c r="AB34" s="145">
        <f>'VMT Bridge BCA'!AB34+'VMT Holabird BCA'!AB34+'Bridge State of Good Repair'!AB34+'Keith State of Good Repair'!AB34</f>
        <v>431347.04221274186</v>
      </c>
      <c r="AC34" s="143">
        <f>'VMT Bridge BCA'!AC34+'VMT Holabird BCA'!AC34+'Bridge State of Good Repair'!AC34+'Keith State of Good Repair'!AC34</f>
        <v>264121.805346252</v>
      </c>
      <c r="AD34" s="144">
        <f>'VMT Bridge BCA'!AD34+'VMT Holabird BCA'!AD34+'Bridge State of Good Repair'!AD34+'Keith State of Good Repair'!AD34</f>
        <v>8.354348847974764</v>
      </c>
      <c r="AE34" s="145">
        <f>'VMT Bridge BCA'!AE34+'VMT Holabird BCA'!AE34+'Bridge State of Good Repair'!AE34+'Keith State of Good Repair'!AE34</f>
        <v>264130.1596951</v>
      </c>
      <c r="AF34" s="248">
        <f>'VMT Bridge BCA'!AF34+'VMT Holabird BCA'!AF34+'Bridge State of Good Repair'!AF34+'Keith State of Good Repair'!AF34</f>
        <v>1136442.6506010185</v>
      </c>
      <c r="AG34" s="248">
        <f>'VMT Bridge BCA'!AG34+'VMT Holabird BCA'!AG34+'Bridge State of Good Repair'!AG34+'Keith State of Good Repair'!AG34</f>
        <v>277.96304635875396</v>
      </c>
      <c r="AH34" s="145">
        <f>'VMT Bridge BCA'!AH34+'VMT Holabird BCA'!AH34+'Bridge State of Good Repair'!AH34+'Keith State of Good Repair'!AH34</f>
        <v>2341644.4641135973</v>
      </c>
      <c r="AI34" s="145">
        <f>'VMT Bridge BCA'!AI34+'VMT Holabird BCA'!AI34+'Bridge State of Good Repair'!AI34+'Keith State of Good Repair'!AI34</f>
        <v>-277292.00674664846</v>
      </c>
      <c r="AJ34" s="145">
        <f>'VMT Bridge BCA'!AJ34+'VMT Holabird BCA'!AJ34+'Bridge State of Good Repair'!AJ34+'Keith State of Good Repair'!AJ34</f>
        <v>-51.145200530010726</v>
      </c>
      <c r="AK34" s="248">
        <f>'VMT Bridge BCA'!AK34+'VMT Holabird BCA'!AK34+'Bridge State of Good Repair'!AK34+'Keith State of Good Repair'!AK34</f>
        <v>105795784.72357893</v>
      </c>
      <c r="AL34" s="248">
        <f>'VMT Bridge BCA'!AL34+'VMT Holabird BCA'!AL34+'Bridge State of Good Repair'!AL34+'Keith State of Good Repair'!AL34</f>
        <v>7576.036144055487</v>
      </c>
      <c r="AM34" s="212">
        <f>'VMT Bridge BCA'!AM34+'VMT Holabird BCA'!AM34</f>
        <v>87.3</v>
      </c>
      <c r="AN34" s="145">
        <f>'VMT Bridge BCA'!AN34+'VMT Holabird BCA'!AN34+'Bridge State of Good Repair'!AN34+'Keith State of Good Repair'!AN34</f>
        <v>330693.97768802196</v>
      </c>
      <c r="AO34" s="67">
        <f t="shared" si="0"/>
        <v>0.4119867595159069</v>
      </c>
      <c r="AP34" s="145">
        <f>'VMT Bridge BCA'!AP34+'VMT Holabird BCA'!AP34+'Bridge State of Good Repair'!AP34+'Keith State of Good Repair'!AP34</f>
        <v>415867.82616525836</v>
      </c>
      <c r="AQ34" s="145">
        <f>'VMT Bridge BCA'!AQ34+'VMT Holabird BCA'!AQ34+'Bridge State of Good Repair'!AQ34+'Keith State of Good Repair'!AQ34</f>
        <v>727964.3755677507</v>
      </c>
      <c r="AR34" s="145">
        <f>'VMT Bridge BCA'!AR34+'VMT Holabird BCA'!AR34+'Bridge State of Good Repair'!AR34+'Keith State of Good Repair'!AR34</f>
        <v>45548.2192974956</v>
      </c>
      <c r="AS34" s="145">
        <f>'VMT Bridge BCA'!AS34+'VMT Holabird BCA'!AS34+'Bridge State of Good Repair'!AS34+'Keith State of Good Repair'!AS34</f>
        <v>177709.27014799864</v>
      </c>
      <c r="AT34" s="145">
        <f>'VMT Bridge BCA'!AT34+'VMT Holabird BCA'!AT34+'Bridge State of Good Repair'!AT34+'Keith State of Good Repair'!AT34</f>
        <v>108818.12858320324</v>
      </c>
      <c r="AU34" s="145">
        <f>'VMT Bridge BCA'!AU34+'VMT Holabird BCA'!AU34+'Bridge State of Good Repair'!AU34+'Keith State of Good Repair'!AU34</f>
        <v>964726.5147085232</v>
      </c>
      <c r="AV34" s="145">
        <f>'VMT Bridge BCA'!AV34+'VMT Holabird BCA'!AV34+'Bridge State of Good Repair'!AV34+'Keith State of Good Repair'!AV34</f>
        <v>-114240.63529921471</v>
      </c>
      <c r="AW34" s="145">
        <f>'VMT Bridge BCA'!AW34+'VMT Holabird BCA'!AW34+'Bridge State of Good Repair'!AW34+'Keith State of Good Repair'!AW34</f>
        <v>-21.071145431150363</v>
      </c>
      <c r="AX34" s="145">
        <f>'VMT Bridge BCA'!AX34+'VMT Holabird BCA'!AX34+'Bridge State of Good Repair'!AX34+'Keith State of Good Repair'!AX34</f>
        <v>136241.5402591138</v>
      </c>
      <c r="AY34" s="67">
        <f t="shared" si="1"/>
        <v>0.13136711715458982</v>
      </c>
      <c r="AZ34" s="145">
        <f>'VMT Bridge BCA'!AZ34+'VMT Holabird BCA'!AZ34+'Bridge State of Good Repair'!AZ34+'Keith State of Good Repair'!AZ34</f>
        <v>132604.64366590104</v>
      </c>
      <c r="BA34" s="145">
        <f>'VMT Bridge BCA'!BA34+'VMT Holabird BCA'!BA34+'Bridge State of Good Repair'!BA34+'Keith State of Good Repair'!BA34</f>
        <v>232120.52135351257</v>
      </c>
      <c r="BB34" s="145">
        <f>'VMT Bridge BCA'!BB34+'VMT Holabird BCA'!BB34+'Bridge State of Good Repair'!BB34+'Keith State of Good Repair'!BB34</f>
        <v>14523.61786497177</v>
      </c>
      <c r="BC34" s="145">
        <f>'VMT Bridge BCA'!BC34+'VMT Holabird BCA'!BC34+'Bridge State of Good Repair'!BC34+'Keith State of Good Repair'!BC34</f>
        <v>56664.81742864707</v>
      </c>
      <c r="BD34" s="145">
        <f>'VMT Bridge BCA'!BD34+'VMT Holabird BCA'!BD34+'Bridge State of Good Repair'!BD34+'Keith State of Good Repair'!BD34</f>
        <v>34698.01763272672</v>
      </c>
      <c r="BE34" s="145">
        <f>'VMT Bridge BCA'!BE34+'VMT Holabird BCA'!BE34+'Bridge State of Good Repair'!BE34+'Keith State of Good Repair'!BE34</f>
        <v>307615.0826516076</v>
      </c>
      <c r="BF34" s="145">
        <f>'VMT Bridge BCA'!BF34+'VMT Holabird BCA'!BF34+'Bridge State of Good Repair'!BF34+'Keith State of Good Repair'!BF34</f>
        <v>-36427.051536318286</v>
      </c>
      <c r="BG34" s="145">
        <f>'VMT Bridge BCA'!BG34+'VMT Holabird BCA'!BG34+'Bridge State of Good Repair'!BG34+'Keith State of Good Repair'!BG34</f>
        <v>-6.718797549920908</v>
      </c>
      <c r="BH34" s="145">
        <f>'VMT Bridge BCA'!BH34+'VMT Holabird BCA'!BH34+'Bridge State of Good Repair'!BH34+'Keith State of Good Repair'!BH34</f>
        <v>43442.3145092597</v>
      </c>
      <c r="BI34" s="145">
        <f>'VMT Bridge BCA'!BI34+'VMT Holabird BCA'!BI34+'Bridge State of Good Repair'!BI34+'Keith State of Good Repair'!BI34</f>
        <v>100000</v>
      </c>
      <c r="BJ34" s="145">
        <f>'VMT Bridge BCA'!BJ34+'VMT Holabird BCA'!BJ34+'Bridge State of Good Repair'!BJ34+'Keith State of Good Repair'!BJ34</f>
        <v>41198.67595159069</v>
      </c>
      <c r="BK34" s="145">
        <f>'VMT Bridge BCA'!BK34+'VMT Holabird BCA'!BK34+'Bridge State of Good Repair'!BK34+'Keith State of Good Repair'!BK34</f>
        <v>13136.711715458981</v>
      </c>
      <c r="BL34" s="145">
        <f>'VMT Bridge BCA'!BL34+'VMT Holabird BCA'!BL34+'Bridge State of Good Repair'!BL34+'Keith State of Good Repair'!BL34</f>
        <v>6000</v>
      </c>
      <c r="BM34" s="145">
        <f>'VMT Bridge BCA'!BM34+'VMT Holabird BCA'!BM34+'Bridge State of Good Repair'!BM34+'Keith State of Good Repair'!BM34</f>
        <v>2471.920557095442</v>
      </c>
      <c r="BN34" s="145">
        <f>'VMT Bridge BCA'!BN34+'VMT Holabird BCA'!BN34+'Bridge State of Good Repair'!BN34+'Keith State of Good Repair'!BN34</f>
        <v>788.2027029275389</v>
      </c>
      <c r="BO34" s="88">
        <f>'Complete Streets Bio Retention'!$A$21</f>
        <v>15736.62181254302</v>
      </c>
      <c r="BP34" s="97">
        <f t="shared" si="2"/>
        <v>6483.279826276937</v>
      </c>
      <c r="BQ34" s="97">
        <f t="shared" si="3"/>
        <v>2067.2746412658125</v>
      </c>
    </row>
    <row r="35" spans="1:69" s="53" customFormat="1" ht="15.75" thickBot="1">
      <c r="A35" s="76"/>
      <c r="B35" s="77"/>
      <c r="C35" s="100"/>
      <c r="D35" s="100"/>
      <c r="E35" s="100"/>
      <c r="F35" s="100"/>
      <c r="G35" s="77"/>
      <c r="H35" s="77"/>
      <c r="I35" s="77"/>
      <c r="J35" s="77"/>
      <c r="K35" s="77"/>
      <c r="L35" s="77"/>
      <c r="M35" s="77"/>
      <c r="N35" s="77"/>
      <c r="O35" s="77"/>
      <c r="P35" s="77"/>
      <c r="Q35" s="162">
        <f aca="true" t="shared" si="4" ref="Q35:AE35">SUM(Q10:Q34)</f>
        <v>19986028.592918087</v>
      </c>
      <c r="R35" s="244">
        <f t="shared" si="4"/>
        <v>206.46759951027616</v>
      </c>
      <c r="S35" s="163">
        <f t="shared" si="4"/>
        <v>19986235.0605176</v>
      </c>
      <c r="T35" s="84">
        <f t="shared" si="4"/>
        <v>34967052.83873335</v>
      </c>
      <c r="U35" s="78">
        <f t="shared" si="4"/>
        <v>15898.005162291262</v>
      </c>
      <c r="V35" s="85">
        <f t="shared" si="4"/>
        <v>34982950.84389565</v>
      </c>
      <c r="W35" s="84">
        <f t="shared" si="4"/>
        <v>2186554.1674827365</v>
      </c>
      <c r="X35" s="78">
        <f t="shared" si="4"/>
        <v>2456.964434172286</v>
      </c>
      <c r="Y35" s="85">
        <f t="shared" si="4"/>
        <v>2189011.131916909</v>
      </c>
      <c r="Z35" s="84">
        <f t="shared" si="4"/>
        <v>8537068.010432597</v>
      </c>
      <c r="AA35" s="78">
        <f t="shared" si="4"/>
        <v>2746.019073486673</v>
      </c>
      <c r="AB35" s="85">
        <f t="shared" si="4"/>
        <v>8539814.029506085</v>
      </c>
      <c r="AC35" s="84">
        <f t="shared" si="4"/>
        <v>5228924.813996283</v>
      </c>
      <c r="AD35" s="78">
        <f t="shared" si="4"/>
        <v>185.82083955924855</v>
      </c>
      <c r="AE35" s="85">
        <f t="shared" si="4"/>
        <v>5229110.634835842</v>
      </c>
      <c r="AF35" s="79"/>
      <c r="AG35" s="79"/>
      <c r="AH35" s="80">
        <f>SUM(AH10:AH34)</f>
        <v>46359667.1310846</v>
      </c>
      <c r="AI35" s="80">
        <f>SUM(AI10:AI34)</f>
        <v>-5489636.4923291765</v>
      </c>
      <c r="AJ35" s="80">
        <f>SUM(AJ10:AJ34)</f>
        <v>-1137.5924413566484</v>
      </c>
      <c r="AK35" s="80"/>
      <c r="AL35" s="80"/>
      <c r="AM35" s="80"/>
      <c r="AN35" s="80">
        <f>SUM(AN10:AN34)</f>
        <v>5682089.914896553</v>
      </c>
      <c r="AO35" s="81"/>
      <c r="AP35" s="82">
        <f aca="true" t="shared" si="5" ref="AP35:AX35">SUM(AP10:AP34)</f>
        <v>11309436.14664391</v>
      </c>
      <c r="AQ35" s="82">
        <f t="shared" si="5"/>
        <v>19794939.49009576</v>
      </c>
      <c r="AR35" s="82">
        <f t="shared" si="5"/>
        <v>1238677.6921832473</v>
      </c>
      <c r="AS35" s="82">
        <f t="shared" si="5"/>
        <v>4832176.9054599255</v>
      </c>
      <c r="AT35" s="82">
        <f t="shared" si="5"/>
        <v>2958811.817251674</v>
      </c>
      <c r="AU35" s="82">
        <f t="shared" si="5"/>
        <v>26232144.101248108</v>
      </c>
      <c r="AV35" s="82">
        <f t="shared" si="5"/>
        <v>-3106215.639073129</v>
      </c>
      <c r="AW35" s="82">
        <f t="shared" si="5"/>
        <v>-673.1770956468471</v>
      </c>
      <c r="AX35" s="82">
        <f t="shared" si="5"/>
        <v>3155890.1630359385</v>
      </c>
      <c r="AY35" s="83"/>
      <c r="AZ35" s="82">
        <f aca="true" t="shared" si="6" ref="AZ35:BH35">SUM(AZ10:AZ34)</f>
        <v>5725424.996615602</v>
      </c>
      <c r="BA35" s="82">
        <f t="shared" si="6"/>
        <v>10020760.446934178</v>
      </c>
      <c r="BB35" s="82">
        <f t="shared" si="6"/>
        <v>627084.015433626</v>
      </c>
      <c r="BC35" s="82">
        <f t="shared" si="6"/>
        <v>2446154.0780134643</v>
      </c>
      <c r="BD35" s="82">
        <f t="shared" si="6"/>
        <v>1497787.5030636534</v>
      </c>
      <c r="BE35" s="82">
        <f t="shared" si="6"/>
        <v>13279240.214770474</v>
      </c>
      <c r="BF35" s="82">
        <f t="shared" si="6"/>
        <v>-1572396.1508455663</v>
      </c>
      <c r="BG35" s="82">
        <f t="shared" si="6"/>
        <v>-365.53331575578966</v>
      </c>
      <c r="BH35" s="82">
        <f t="shared" si="6"/>
        <v>1559662.1642300906</v>
      </c>
      <c r="BI35" s="90">
        <f aca="true" t="shared" si="7" ref="BI35:BN35">SUM(BI4:BI34)</f>
        <v>5100000</v>
      </c>
      <c r="BJ35" s="93">
        <f t="shared" si="7"/>
        <v>3622839.554200309</v>
      </c>
      <c r="BK35" s="94">
        <f t="shared" si="7"/>
        <v>2466193.4888711725</v>
      </c>
      <c r="BL35" s="90">
        <f t="shared" si="7"/>
        <v>2155000</v>
      </c>
      <c r="BM35" s="93">
        <f t="shared" si="7"/>
        <v>1049304.9568823534</v>
      </c>
      <c r="BN35" s="94">
        <f t="shared" si="7"/>
        <v>421447.944312056</v>
      </c>
      <c r="BO35" s="90">
        <f>SUM(BO4:BO34)</f>
        <v>409152.1671261185</v>
      </c>
      <c r="BP35" s="93">
        <f>SUM(BP4:BP34)</f>
        <v>249950.1610705018</v>
      </c>
      <c r="BQ35" s="94">
        <f>SUM(BQ4:BQ34)</f>
        <v>141973.12561894147</v>
      </c>
    </row>
  </sheetData>
  <sheetProtection/>
  <mergeCells count="55">
    <mergeCell ref="BO1:BQ1"/>
    <mergeCell ref="BO2:BO3"/>
    <mergeCell ref="BP2:BP3"/>
    <mergeCell ref="BQ2:BQ3"/>
    <mergeCell ref="BI2:BI3"/>
    <mergeCell ref="BJ2:BJ3"/>
    <mergeCell ref="BK2:BK3"/>
    <mergeCell ref="BL2:BL3"/>
    <mergeCell ref="BM2:BM3"/>
    <mergeCell ref="BN2:BN3"/>
    <mergeCell ref="BI1:BK1"/>
    <mergeCell ref="BL1:BN1"/>
    <mergeCell ref="E1:AN1"/>
    <mergeCell ref="AO1:AO3"/>
    <mergeCell ref="AP1:AX1"/>
    <mergeCell ref="AY1:AY3"/>
    <mergeCell ref="AZ1:BH1"/>
    <mergeCell ref="Q2:S2"/>
    <mergeCell ref="T2:V2"/>
    <mergeCell ref="W2:Y2"/>
    <mergeCell ref="A2:A3"/>
    <mergeCell ref="B2:B3"/>
    <mergeCell ref="C2:D2"/>
    <mergeCell ref="E2:F2"/>
    <mergeCell ref="G2:K2"/>
    <mergeCell ref="L2:P2"/>
    <mergeCell ref="Z2:AB2"/>
    <mergeCell ref="AC2:AE2"/>
    <mergeCell ref="AF2:AF3"/>
    <mergeCell ref="AG2:AG3"/>
    <mergeCell ref="AH2:AH3"/>
    <mergeCell ref="AI2:AI3"/>
    <mergeCell ref="AJ2:AJ3"/>
    <mergeCell ref="AK2:AK3"/>
    <mergeCell ref="AL2:AL3"/>
    <mergeCell ref="AM2:AM3"/>
    <mergeCell ref="AN2:AN3"/>
    <mergeCell ref="AP2:AP3"/>
    <mergeCell ref="BD2:BD3"/>
    <mergeCell ref="AQ2:AQ3"/>
    <mergeCell ref="AR2:AR3"/>
    <mergeCell ref="AS2:AS3"/>
    <mergeCell ref="AT2:AT3"/>
    <mergeCell ref="AU2:AU3"/>
    <mergeCell ref="AV2:AV3"/>
    <mergeCell ref="BE2:BE3"/>
    <mergeCell ref="AW2:AW3"/>
    <mergeCell ref="AX2:AX3"/>
    <mergeCell ref="BF2:BF3"/>
    <mergeCell ref="BG2:BG3"/>
    <mergeCell ref="BH2:BH3"/>
    <mergeCell ref="AZ2:AZ3"/>
    <mergeCell ref="BA2:BA3"/>
    <mergeCell ref="BB2:BB3"/>
    <mergeCell ref="BC2:BC3"/>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STV Incorporated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raberkd</dc:creator>
  <cp:keywords/>
  <dc:description/>
  <cp:lastModifiedBy>raberkd</cp:lastModifiedBy>
  <cp:lastPrinted>2015-05-21T15:52:10Z</cp:lastPrinted>
  <dcterms:created xsi:type="dcterms:W3CDTF">2014-04-15T18:05:05Z</dcterms:created>
  <dcterms:modified xsi:type="dcterms:W3CDTF">2015-06-03T14:23:10Z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